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pers\Downloads\"/>
    </mc:Choice>
  </mc:AlternateContent>
  <bookViews>
    <workbookView xWindow="0" yWindow="0" windowWidth="11880" windowHeight="9345" firstSheet="1" activeTab="1"/>
  </bookViews>
  <sheets>
    <sheet name="Spielfeld 10 PN und Doppelbest." sheetId="11" state="hidden" r:id="rId1"/>
    <sheet name="Deckblatt" sheetId="5" r:id="rId2"/>
    <sheet name="U-Probenahme" sheetId="14" r:id="rId3"/>
    <sheet name="Kombinationen" sheetId="9" r:id="rId4"/>
    <sheet name="U-Probenahme_Validierung" sheetId="3" state="hidden" r:id="rId5"/>
    <sheet name="Notizen" sheetId="2" r:id="rId6"/>
    <sheet name="Vergleichsdatensatz" sheetId="13" state="hidden" r:id="rId7"/>
  </sheets>
  <definedNames>
    <definedName name="_xlnm.Print_Area" localSheetId="2">'U-Probenahme'!$A$1:$F$59</definedName>
    <definedName name="_xlnm.Print_Area" localSheetId="4">'U-Probenahme_Validierung'!$A$1:$F$60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 i="14" l="1"/>
  <c r="E53" i="14"/>
  <c r="E52" i="14"/>
  <c r="E51" i="14"/>
  <c r="F43" i="14"/>
  <c r="E43" i="14"/>
  <c r="D43" i="14"/>
  <c r="C43" i="14"/>
  <c r="B43" i="14"/>
  <c r="F42" i="14"/>
  <c r="F38" i="14" s="1"/>
  <c r="E42" i="14"/>
  <c r="E38" i="14" s="1"/>
  <c r="D42" i="14"/>
  <c r="D38" i="14" s="1"/>
  <c r="C42" i="14"/>
  <c r="C38" i="14" s="1"/>
  <c r="B42" i="14"/>
  <c r="B38" i="14" s="1"/>
  <c r="B41" i="14"/>
  <c r="F40" i="14"/>
  <c r="E40" i="14"/>
  <c r="D40" i="14"/>
  <c r="C40" i="14"/>
  <c r="B40" i="14"/>
  <c r="F39" i="14"/>
  <c r="E39" i="14"/>
  <c r="D39" i="14"/>
  <c r="C39" i="14"/>
  <c r="B39" i="14"/>
  <c r="M38" i="14"/>
  <c r="L38" i="14"/>
  <c r="K38" i="14"/>
  <c r="J38" i="14"/>
  <c r="I38" i="14"/>
  <c r="M37" i="14"/>
  <c r="M27" i="14" s="1"/>
  <c r="L37" i="14"/>
  <c r="L30" i="14" s="1"/>
  <c r="K37" i="14"/>
  <c r="K31" i="14" s="1"/>
  <c r="J37" i="14"/>
  <c r="J31" i="14" s="1"/>
  <c r="I37" i="14"/>
  <c r="I28" i="14" s="1"/>
  <c r="F37" i="14"/>
  <c r="E37" i="14"/>
  <c r="D37" i="14"/>
  <c r="C37" i="14"/>
  <c r="B37" i="14"/>
  <c r="F36" i="14"/>
  <c r="E36" i="14"/>
  <c r="D36" i="14"/>
  <c r="C36" i="14"/>
  <c r="B36" i="14"/>
  <c r="J32" i="14"/>
  <c r="I32" i="14"/>
  <c r="M31" i="14"/>
  <c r="L31" i="14"/>
  <c r="M26" i="14"/>
  <c r="L26" i="14"/>
  <c r="K26" i="14"/>
  <c r="J26" i="14"/>
  <c r="I26" i="14"/>
  <c r="B47" i="14" l="1"/>
  <c r="D52" i="14"/>
  <c r="B44" i="14"/>
  <c r="B45" i="14" s="1"/>
  <c r="K32" i="14"/>
  <c r="L32" i="14"/>
  <c r="M28" i="14"/>
  <c r="J28" i="14"/>
  <c r="B46" i="14"/>
  <c r="B48" i="14" s="1"/>
  <c r="B49" i="14" s="1"/>
  <c r="L33" i="14"/>
  <c r="K34" i="14"/>
  <c r="J29" i="14"/>
  <c r="K29" i="14"/>
  <c r="L29" i="14"/>
  <c r="D51" i="14"/>
  <c r="L35" i="14"/>
  <c r="J30" i="14"/>
  <c r="M30" i="14"/>
  <c r="I27" i="14"/>
  <c r="J27" i="14"/>
  <c r="I33" i="14"/>
  <c r="L27" i="14"/>
  <c r="K33" i="14"/>
  <c r="I34" i="14"/>
  <c r="L28" i="14"/>
  <c r="I29" i="14"/>
  <c r="L34" i="14"/>
  <c r="M34" i="14"/>
  <c r="I35" i="14"/>
  <c r="J35" i="14"/>
  <c r="K35" i="14"/>
  <c r="I30" i="14"/>
  <c r="M35" i="14"/>
  <c r="K30" i="14"/>
  <c r="D53" i="14"/>
  <c r="D55" i="14" s="1"/>
  <c r="I31" i="14"/>
  <c r="K27" i="14"/>
  <c r="J33" i="14"/>
  <c r="M33" i="14"/>
  <c r="K28" i="14"/>
  <c r="J34" i="14"/>
  <c r="M29" i="14"/>
  <c r="M32" i="14"/>
  <c r="D54" i="14" l="1"/>
  <c r="D56" i="14" s="1"/>
  <c r="L1" i="9" l="1"/>
  <c r="F28" i="11"/>
  <c r="E28" i="11"/>
  <c r="C28" i="11"/>
  <c r="B28" i="11"/>
  <c r="F27" i="11"/>
  <c r="E27" i="11"/>
  <c r="C27" i="11"/>
  <c r="B27" i="11"/>
  <c r="O25" i="11"/>
  <c r="P25" i="11" s="1"/>
  <c r="Q25" i="11" s="1"/>
  <c r="N25" i="11"/>
  <c r="M25" i="11"/>
  <c r="L25" i="11"/>
  <c r="K25" i="11"/>
  <c r="J25" i="11"/>
  <c r="F25" i="11"/>
  <c r="E25" i="11"/>
  <c r="C25" i="11"/>
  <c r="B25" i="11"/>
  <c r="O24" i="11"/>
  <c r="P24" i="11" s="1"/>
  <c r="Q24" i="11" s="1"/>
  <c r="N24" i="11"/>
  <c r="M24" i="11"/>
  <c r="L24" i="11"/>
  <c r="K24" i="11"/>
  <c r="J24" i="11"/>
  <c r="F24" i="11"/>
  <c r="E24" i="11"/>
  <c r="C24" i="11"/>
  <c r="B24" i="11"/>
  <c r="O23" i="11"/>
  <c r="P23" i="11" s="1"/>
  <c r="Q23" i="11" s="1"/>
  <c r="N23" i="11"/>
  <c r="M23" i="11"/>
  <c r="L23" i="11"/>
  <c r="K23" i="11"/>
  <c r="J23" i="11"/>
  <c r="K22" i="11"/>
  <c r="J22" i="11"/>
  <c r="M22" i="11" s="1"/>
  <c r="F22" i="11"/>
  <c r="E22" i="11"/>
  <c r="C22" i="11"/>
  <c r="B22" i="11"/>
  <c r="K21" i="11"/>
  <c r="J21" i="11"/>
  <c r="M21" i="11" s="1"/>
  <c r="F21" i="11"/>
  <c r="E21" i="11"/>
  <c r="C21" i="11"/>
  <c r="B21" i="11"/>
  <c r="K20" i="11"/>
  <c r="J20" i="11"/>
  <c r="L20" i="11" s="1"/>
  <c r="K19" i="11"/>
  <c r="J19" i="11"/>
  <c r="O19" i="11" s="1"/>
  <c r="P19" i="11" s="1"/>
  <c r="Q19" i="11" s="1"/>
  <c r="F19" i="11"/>
  <c r="E19" i="11"/>
  <c r="C19" i="11"/>
  <c r="B19" i="11"/>
  <c r="K18" i="11"/>
  <c r="J18" i="11"/>
  <c r="O18" i="11" s="1"/>
  <c r="P18" i="11" s="1"/>
  <c r="Q18" i="11" s="1"/>
  <c r="F18" i="11"/>
  <c r="E18" i="11"/>
  <c r="C18" i="11"/>
  <c r="B18" i="11"/>
  <c r="K17" i="11"/>
  <c r="J17" i="11"/>
  <c r="O17" i="11" s="1"/>
  <c r="P17" i="11" s="1"/>
  <c r="Q17" i="11" s="1"/>
  <c r="O16" i="11"/>
  <c r="P16" i="11" s="1"/>
  <c r="N16" i="11"/>
  <c r="M16" i="11"/>
  <c r="L16" i="11"/>
  <c r="K16" i="11"/>
  <c r="J16" i="11"/>
  <c r="F16" i="11"/>
  <c r="E16" i="11"/>
  <c r="C16" i="11"/>
  <c r="B16" i="11"/>
  <c r="F15" i="11"/>
  <c r="E15" i="11"/>
  <c r="C15" i="11"/>
  <c r="B15" i="11"/>
  <c r="I21" i="9"/>
  <c r="K18" i="9"/>
  <c r="J18" i="9"/>
  <c r="I18" i="9"/>
  <c r="H18" i="9"/>
  <c r="K17" i="9"/>
  <c r="J17" i="9"/>
  <c r="I17" i="9"/>
  <c r="H17" i="9"/>
  <c r="J16" i="9"/>
  <c r="K16" i="9" s="1"/>
  <c r="I16" i="9"/>
  <c r="H16" i="9"/>
  <c r="K15" i="9"/>
  <c r="J15" i="9"/>
  <c r="I15" i="9"/>
  <c r="H15" i="9"/>
  <c r="J14" i="9"/>
  <c r="I14" i="9"/>
  <c r="H14" i="9"/>
  <c r="J13" i="9"/>
  <c r="K13" i="9" s="1"/>
  <c r="I13" i="9"/>
  <c r="H13" i="9"/>
  <c r="J12" i="9"/>
  <c r="I12" i="9"/>
  <c r="H12" i="9"/>
  <c r="J11" i="9"/>
  <c r="I11" i="9"/>
  <c r="H11" i="9"/>
  <c r="J10" i="9"/>
  <c r="I10" i="9"/>
  <c r="H10" i="9"/>
  <c r="J9" i="9"/>
  <c r="I9" i="9"/>
  <c r="H9" i="9"/>
  <c r="Q16" i="11" l="1"/>
  <c r="L21" i="11"/>
  <c r="L22" i="11"/>
  <c r="N20" i="11"/>
  <c r="O22" i="11"/>
  <c r="P22" i="11" s="1"/>
  <c r="Q22" i="11" s="1"/>
  <c r="N21" i="11"/>
  <c r="O21" i="11"/>
  <c r="P21" i="11" s="1"/>
  <c r="Q21" i="11" s="1"/>
  <c r="L17" i="11"/>
  <c r="L18" i="11"/>
  <c r="L19" i="11"/>
  <c r="O20" i="11"/>
  <c r="P20" i="11" s="1"/>
  <c r="Q20" i="11" s="1"/>
  <c r="M17" i="11"/>
  <c r="M18" i="11"/>
  <c r="M19" i="11"/>
  <c r="M20" i="11"/>
  <c r="N22" i="11"/>
  <c r="N17" i="11"/>
  <c r="N18" i="11"/>
  <c r="N19" i="11"/>
  <c r="J21" i="9"/>
  <c r="K21" i="9"/>
  <c r="K12" i="9"/>
  <c r="K10" i="9"/>
  <c r="K11" i="9"/>
  <c r="K14" i="9"/>
  <c r="K9" i="9"/>
  <c r="K19" i="9"/>
  <c r="J20" i="9"/>
  <c r="P28" i="11" l="1"/>
  <c r="O29" i="11"/>
  <c r="P29" i="11"/>
  <c r="J80" i="3" l="1"/>
  <c r="I80" i="3"/>
  <c r="H80" i="3"/>
  <c r="J79" i="3"/>
  <c r="I79" i="3"/>
  <c r="H79" i="3"/>
  <c r="J78" i="3"/>
  <c r="I78" i="3"/>
  <c r="H78" i="3"/>
  <c r="J77" i="3"/>
  <c r="I77" i="3"/>
  <c r="H77" i="3"/>
  <c r="J76" i="3"/>
  <c r="I76" i="3"/>
  <c r="H76" i="3"/>
  <c r="J75" i="3"/>
  <c r="I75" i="3"/>
  <c r="H75" i="3"/>
  <c r="J74" i="3"/>
  <c r="I74" i="3"/>
  <c r="H74" i="3"/>
  <c r="J73" i="3"/>
  <c r="I73" i="3"/>
  <c r="H73" i="3"/>
  <c r="J72" i="3"/>
  <c r="I72" i="3"/>
  <c r="H72" i="3"/>
  <c r="J71" i="3"/>
  <c r="I71" i="3"/>
  <c r="H71" i="3"/>
  <c r="J83" i="3" l="1"/>
  <c r="J82" i="3"/>
  <c r="I83" i="3"/>
  <c r="K83" i="3"/>
  <c r="I34" i="3" l="1"/>
  <c r="I33" i="3"/>
  <c r="K32" i="3"/>
  <c r="I35" i="3"/>
  <c r="K33" i="3"/>
  <c r="I36" i="3"/>
  <c r="K34" i="3"/>
  <c r="K35" i="3"/>
  <c r="K36" i="3"/>
  <c r="I32" i="3" l="1"/>
  <c r="I37" i="3"/>
  <c r="P32" i="3"/>
  <c r="P34" i="3" l="1"/>
  <c r="P33" i="3"/>
  <c r="P36" i="3"/>
</calcChain>
</file>

<file path=xl/comments1.xml><?xml version="1.0" encoding="utf-8"?>
<comments xmlns="http://schemas.openxmlformats.org/spreadsheetml/2006/main">
  <authors>
    <author>Lars Alpers</author>
  </authors>
  <commentList>
    <comment ref="F1" authorId="0" shapeId="0">
      <text>
        <r>
          <rPr>
            <b/>
            <sz val="9"/>
            <color indexed="81"/>
            <rFont val="Segoe UI"/>
            <family val="2"/>
          </rPr>
          <t>Lars Alpers:</t>
        </r>
        <r>
          <rPr>
            <sz val="9"/>
            <color indexed="81"/>
            <rFont val="Segoe UI"/>
            <family val="2"/>
          </rPr>
          <t xml:space="preserve">
</t>
        </r>
        <r>
          <rPr>
            <u/>
            <sz val="9"/>
            <color indexed="81"/>
            <rFont val="Segoe UI"/>
            <family val="2"/>
          </rPr>
          <t>Änderungen in Rev.1 (14.05.2023):</t>
        </r>
        <r>
          <rPr>
            <sz val="9"/>
            <color indexed="81"/>
            <rFont val="Segoe UI"/>
            <family val="2"/>
          </rPr>
          <t xml:space="preserve">
1. Die Gleichung zur Berechnung der kombinierten Unsicherheit aller Proben geändert. Die zuvor benutzte Gleichung führte aufgrund der unterschiedlichen Anzahl der Daten, welche in die Berechnungen der verglichenen Unsicherheitsbudgets eingehen, zu einer Unterschätzung der Probenahmeunsicherheit.
2. Die Unsicherheit der Probemnahme wird nur dann als Ergebnis angegeben, wenn sie signifikant, also größer als die mittlere Unsicherheit der Prüfergebnisse ist.
3. Es wurde für die einzelnen Messserien als zusätzliche Information ein Grubbs-Ausreißertest gegen den Median eingefügt.
4. Es wurde ein Tabellenblatt für Kombinationen von ermittelten Unsicherheitsbeträgen hinzugefügt.
5. Es wurde ein Tabellenblatt mit Vergleichsdaten eingefügt.
</t>
        </r>
        <r>
          <rPr>
            <u/>
            <sz val="9"/>
            <color indexed="81"/>
            <rFont val="Segoe UI"/>
            <family val="2"/>
          </rPr>
          <t>Änderungen in Rev.1 (07.06.2023):</t>
        </r>
        <r>
          <rPr>
            <sz val="9"/>
            <color indexed="81"/>
            <rFont val="Segoe UI"/>
            <family val="2"/>
          </rPr>
          <t xml:space="preserve">
Die Auswahl an Vergleichsdaten wurde erweitert.
</t>
        </r>
        <r>
          <rPr>
            <u/>
            <sz val="9"/>
            <color indexed="81"/>
            <rFont val="Segoe UI"/>
            <family val="2"/>
          </rPr>
          <t>Änderungen in Rev.2 (07.06.2023):</t>
        </r>
        <r>
          <rPr>
            <sz val="9"/>
            <color indexed="81"/>
            <rFont val="Segoe UI"/>
            <family val="2"/>
          </rPr>
          <t xml:space="preserve">
1. Im Tabellenblatt "U-Probenahme" wurde vereinzelt die Signifikanzmeldung falsch angegeben. Die Berechnungen arbeiteten jedoch korrekt.
2. Das Tabellenblatt "Kombinationen" wurde um zwei Eingabebereiche für Hinweise ergänzt.
</t>
        </r>
        <r>
          <rPr>
            <u/>
            <sz val="9"/>
            <color indexed="81"/>
            <rFont val="Segoe UI"/>
            <family val="2"/>
          </rPr>
          <t xml:space="preserve">Zusätzliche Änderungen (25.10.2023):
</t>
        </r>
        <r>
          <rPr>
            <sz val="9"/>
            <color indexed="81"/>
            <rFont val="Segoe UI"/>
            <family val="2"/>
          </rPr>
          <t>Die Info, Grubbs-Ausreißertest ergänzt, sodass für Proben, mit ausschließlich identischen Prüfergebnissen und somit STABW=0 keine Fehlermeldung mehr angezeigt wird.
Zudem wird nun bei nicht signifikantem Ergebnis anstatt "k.A.*" ein Ergebnis der Form "&lt; x" angegeben, welches sich an u</t>
        </r>
        <r>
          <rPr>
            <vertAlign val="subscript"/>
            <sz val="10"/>
            <color indexed="81"/>
            <rFont val="Segoe UI"/>
            <family val="2"/>
          </rPr>
          <t>p</t>
        </r>
        <r>
          <rPr>
            <sz val="9"/>
            <color indexed="81"/>
            <rFont val="Segoe UI"/>
            <family val="2"/>
          </rPr>
          <t xml:space="preserve"> orientiert.
</t>
        </r>
        <r>
          <rPr>
            <u/>
            <sz val="9"/>
            <color indexed="81"/>
            <rFont val="Segoe UI"/>
            <family val="2"/>
          </rPr>
          <t>Änderungen in Rev.3 (02.12.2023):</t>
        </r>
        <r>
          <rPr>
            <sz val="9"/>
            <color indexed="81"/>
            <rFont val="Segoe UI"/>
            <family val="2"/>
          </rPr>
          <t xml:space="preserve">
Aufgrund mittlerweile gesammelter Erfahrungen mit unterschiedlichem Datenmaterial wurde der Signifikanztest entfernt, da er sich in der Praxis nicht als hilfreich erwiesen hat. Eine manuelle Elimination von Datensätzen sollte besser aufgrund individueller Begründung erfolgen.
</t>
        </r>
        <r>
          <rPr>
            <u/>
            <sz val="9"/>
            <color indexed="81"/>
            <rFont val="Segoe UI"/>
            <family val="2"/>
          </rPr>
          <t>Änderungen in Rev.4 (19.02.2024):</t>
        </r>
        <r>
          <rPr>
            <sz val="9"/>
            <color indexed="81"/>
            <rFont val="Segoe UI"/>
            <family val="2"/>
          </rPr>
          <t xml:space="preserve">
Zur Plausibilitäsprüfung des Datenmaterials wurde ein Test auf Repräsentativität der Probenahme gemäß DIN 19698-2:2016-12, Anhang D eingefügt.  Diese Prüfung soll der Information dienen. Eine Entscheidung, ob das Datenmaterial berücksichtigt wird, oder nicht, sollte individuell nach der Sachlage erfolgen.</t>
        </r>
      </text>
    </comment>
    <comment ref="A40" authorId="0" shapeId="0">
      <text>
        <r>
          <rPr>
            <b/>
            <sz val="9"/>
            <color indexed="81"/>
            <rFont val="Segoe UI"/>
            <family val="2"/>
          </rPr>
          <t>Lars Alpers:</t>
        </r>
        <r>
          <rPr>
            <sz val="9"/>
            <color indexed="81"/>
            <rFont val="Segoe UI"/>
            <family val="2"/>
          </rPr>
          <t xml:space="preserve">
Standardabweichung der Messungen einer Probe</t>
        </r>
      </text>
    </comment>
    <comment ref="A41" authorId="0" shapeId="0">
      <text>
        <r>
          <rPr>
            <b/>
            <sz val="9"/>
            <color indexed="81"/>
            <rFont val="Segoe UI"/>
            <family val="2"/>
          </rPr>
          <t>Lars Alpers:</t>
        </r>
        <r>
          <rPr>
            <sz val="9"/>
            <color indexed="81"/>
            <rFont val="Segoe UI"/>
            <family val="2"/>
          </rPr>
          <t xml:space="preserve">
Standardabweichung aller Messungen aller Proben.</t>
        </r>
      </text>
    </comment>
    <comment ref="A49" authorId="0" shapeId="0">
      <text>
        <r>
          <rPr>
            <b/>
            <sz val="9"/>
            <color indexed="81"/>
            <rFont val="Segoe UI"/>
            <family val="2"/>
          </rPr>
          <t>Lars Alpers:</t>
        </r>
        <r>
          <rPr>
            <sz val="9"/>
            <color indexed="81"/>
            <rFont val="Segoe UI"/>
            <family val="2"/>
          </rPr>
          <t xml:space="preserve">
Zur Bewertung gemäß DIN 19698-2:2016-12, Anhang D wurden als Analysenstreuung die Spannweiten der Prüfergebnisse angewendet.
Diese Prüfung soll der Information dienen. Eine Entscheidung, ob das Datenmaterial berücksichtigt wird, oder nicht, sollte individuell nach der Sachlage erfolgen.</t>
        </r>
      </text>
    </comment>
  </commentList>
</comments>
</file>

<file path=xl/comments2.xml><?xml version="1.0" encoding="utf-8"?>
<comments xmlns="http://schemas.openxmlformats.org/spreadsheetml/2006/main">
  <authors>
    <author>Lars Alpers</author>
  </authors>
  <commentList>
    <comment ref="A40" authorId="0" shapeId="0">
      <text>
        <r>
          <rPr>
            <b/>
            <sz val="9"/>
            <color indexed="81"/>
            <rFont val="Segoe UI"/>
            <family val="2"/>
          </rPr>
          <t>Lars Alpers:</t>
        </r>
        <r>
          <rPr>
            <sz val="9"/>
            <color indexed="81"/>
            <rFont val="Segoe UI"/>
            <family val="2"/>
          </rPr>
          <t xml:space="preserve">
Standardabweichung der Messungen einer Probe</t>
        </r>
      </text>
    </comment>
    <comment ref="A41" authorId="0" shapeId="0">
      <text>
        <r>
          <rPr>
            <b/>
            <sz val="9"/>
            <color indexed="81"/>
            <rFont val="Segoe UI"/>
            <family val="2"/>
          </rPr>
          <t>Lars Alpers:</t>
        </r>
        <r>
          <rPr>
            <sz val="9"/>
            <color indexed="81"/>
            <rFont val="Segoe UI"/>
            <family val="2"/>
          </rPr>
          <t xml:space="preserve">
Standardabweichung aller Messungen aller Proben.</t>
        </r>
      </text>
    </comment>
    <comment ref="A49" authorId="0" shapeId="0">
      <text>
        <r>
          <rPr>
            <b/>
            <sz val="9"/>
            <color indexed="81"/>
            <rFont val="Segoe UI"/>
            <family val="2"/>
          </rPr>
          <t>Lars Alpers:</t>
        </r>
        <r>
          <rPr>
            <sz val="9"/>
            <color indexed="81"/>
            <rFont val="Segoe UI"/>
            <family val="2"/>
          </rPr>
          <t xml:space="preserve">
Zur Bewertung gemäß DIN 19698-2:2016-12, Anhang D wurden als Analysenstreuung die Spannweiten der Prüfergebnisse angewendet.
Diese Prüfung soll der Information dienen. Eine Entscheidung, ob das Datenmaterial berücksichtigt wird, oder nicht, sollte individuell nach der Sachlage erfolgen.</t>
        </r>
      </text>
    </comment>
  </commentList>
</comments>
</file>

<file path=xl/sharedStrings.xml><?xml version="1.0" encoding="utf-8"?>
<sst xmlns="http://schemas.openxmlformats.org/spreadsheetml/2006/main" count="710" uniqueCount="205">
  <si>
    <t>Vorausgesetzte Annahmen:</t>
  </si>
  <si>
    <t>Durchführung:</t>
  </si>
  <si>
    <t>Prüfergebnisse:</t>
  </si>
  <si>
    <t>Probe 1</t>
  </si>
  <si>
    <t>Probe 2</t>
  </si>
  <si>
    <t>Probe 3</t>
  </si>
  <si>
    <t>Angaben zu den Proben:</t>
  </si>
  <si>
    <t>Entnahmedatum:</t>
  </si>
  <si>
    <t>Probenehmer:</t>
  </si>
  <si>
    <t>Zu prüfender Analyt:</t>
  </si>
  <si>
    <t>Phys. Maßeinheit:</t>
  </si>
  <si>
    <t>Messung 1</t>
  </si>
  <si>
    <t>Messung 2</t>
  </si>
  <si>
    <t>Messung 3</t>
  </si>
  <si>
    <t>Messung 4</t>
  </si>
  <si>
    <t>Messung 5</t>
  </si>
  <si>
    <t>Messung 6</t>
  </si>
  <si>
    <t>Messung 7</t>
  </si>
  <si>
    <t>Messung 8</t>
  </si>
  <si>
    <t>Messung 9</t>
  </si>
  <si>
    <t>Messung 10</t>
  </si>
  <si>
    <t>STABW</t>
  </si>
  <si>
    <t>STABW, alle</t>
  </si>
  <si>
    <t xml:space="preserve"> =&gt; Unsicherheit der Probenahme:</t>
  </si>
  <si>
    <t xml:space="preserve"> =&gt; erweiterte Unsicherheit der Probenahme:</t>
  </si>
  <si>
    <t>Probe 4</t>
  </si>
  <si>
    <t>Probe 5</t>
  </si>
  <si>
    <r>
      <t>Mittlere Unsicherheit der Einzelproben, u</t>
    </r>
    <r>
      <rPr>
        <vertAlign val="subscript"/>
        <sz val="12"/>
        <color theme="1"/>
        <rFont val="Calibri"/>
        <family val="2"/>
        <scheme val="minor"/>
      </rPr>
      <t>pi</t>
    </r>
    <r>
      <rPr>
        <sz val="11"/>
        <color theme="1"/>
        <rFont val="Calibri"/>
        <family val="2"/>
        <scheme val="minor"/>
      </rPr>
      <t>:</t>
    </r>
  </si>
  <si>
    <r>
      <t>Kombinierte Unsicherheit aller Proben, u</t>
    </r>
    <r>
      <rPr>
        <vertAlign val="subscript"/>
        <sz val="12"/>
        <color theme="1"/>
        <rFont val="Calibri"/>
        <family val="2"/>
        <scheme val="minor"/>
      </rPr>
      <t>p</t>
    </r>
    <r>
      <rPr>
        <sz val="11"/>
        <color theme="1"/>
        <rFont val="Calibri"/>
        <family val="2"/>
        <scheme val="minor"/>
      </rPr>
      <t>:</t>
    </r>
  </si>
  <si>
    <t>Anzeige signifikanter Stellen:</t>
  </si>
  <si>
    <t>%</t>
  </si>
  <si>
    <t xml:space="preserve"> =&gt; relativ zum mittleren Prüfergebnis:</t>
  </si>
  <si>
    <t>Prüfergebnis</t>
  </si>
  <si>
    <t>Berechnung der Messunsicherheit der Probenahme</t>
  </si>
  <si>
    <t>Datum / Unterschrift</t>
  </si>
  <si>
    <t>(i.d.R. je Probe mindestens Dreifachbestimmungen)</t>
  </si>
  <si>
    <t xml:space="preserve">Prüfergebnis: </t>
  </si>
  <si>
    <t>Statistik:</t>
  </si>
  <si>
    <t>Standardabw.</t>
  </si>
  <si>
    <t>Die systematische Abweichung liegt allein im angewendeten Prüfverfahren und wird deshalb für die</t>
  </si>
  <si>
    <t>budget der Probenahme wird folglich allein über die erwartete Erhöhung der zufälligen Abweichung</t>
  </si>
  <si>
    <t>ermittelt. Die Homogenität der entnommenen Teilproben kann unterschiedlich sein. Die hieraus re-</t>
  </si>
  <si>
    <t>sultierende Streuung wird über die Mehrfachbeprobung erfasst.</t>
  </si>
  <si>
    <t>Anstelle einer einzelnen Probe, werden in möglichst kurzem Zeitabstand mindestens drei repräsenta-</t>
  </si>
  <si>
    <t>tive Proben entnommen und jeweils in Mehrfachbestimmung geprüft.</t>
  </si>
  <si>
    <t>Die Berechnung der Unsicherheit der Probenahme erfolgt aufgrund der vorausgesetzten Annahmen</t>
  </si>
  <si>
    <r>
      <t>Einzelergebnisse u</t>
    </r>
    <r>
      <rPr>
        <vertAlign val="subscript"/>
        <sz val="12"/>
        <color theme="1"/>
        <rFont val="Calibri"/>
        <family val="2"/>
        <scheme val="minor"/>
      </rPr>
      <t>p</t>
    </r>
    <r>
      <rPr>
        <sz val="11"/>
        <color theme="1"/>
        <rFont val="Calibri"/>
        <family val="2"/>
        <scheme val="minor"/>
      </rPr>
      <t>-u</t>
    </r>
    <r>
      <rPr>
        <vertAlign val="subscript"/>
        <sz val="12"/>
        <color theme="1"/>
        <rFont val="Calibri"/>
        <family val="2"/>
        <scheme val="minor"/>
      </rPr>
      <t>pi</t>
    </r>
    <r>
      <rPr>
        <sz val="11"/>
        <color theme="1"/>
        <rFont val="Calibri"/>
        <family val="2"/>
        <scheme val="minor"/>
      </rPr>
      <t xml:space="preserve">  (siehe unten).</t>
    </r>
  </si>
  <si>
    <t>als Differenz aus der mittleren Streuung der Einzelergebnisse jeder Probe zur Gesamtstreuung aller</t>
  </si>
  <si>
    <t>Untersuchung als konstant angesehen und hier nicht betrachtet. Das zu ermittelnde Unsicherheits-</t>
  </si>
  <si>
    <t>Validierungsergebnisse</t>
  </si>
  <si>
    <t>Sowie mittels wissenschaftlichem Taschenrechner "Dario D1-1"</t>
  </si>
  <si>
    <t>vorliegendes</t>
  </si>
  <si>
    <t>Rechenblatt</t>
  </si>
  <si>
    <t>Taschenrechner</t>
  </si>
  <si>
    <t>Dario D1-1</t>
  </si>
  <si>
    <t>Programm</t>
  </si>
  <si>
    <t>Valoo 10</t>
  </si>
  <si>
    <t>Die Validierung erfolgte mit der Demoversion des komerziellen Statistikprogrammes "Valoo", Ausgabe 10 (Berechnung der Standardabweichungen)</t>
  </si>
  <si>
    <t>Bewertung</t>
  </si>
  <si>
    <t>korrekt</t>
  </si>
  <si>
    <t>upi</t>
  </si>
  <si>
    <t>up</t>
  </si>
  <si>
    <t>up-upi</t>
  </si>
  <si>
    <t>2*up-upi</t>
  </si>
  <si>
    <t>Standardabweichungen</t>
  </si>
  <si>
    <t>der Proben</t>
  </si>
  <si>
    <t>Prüfergebnisse</t>
  </si>
  <si>
    <t>(Mittelwerte der Proben)</t>
  </si>
  <si>
    <t>Bewertungen</t>
  </si>
  <si>
    <t>rel. erw. u</t>
  </si>
  <si>
    <t>MW, P.erg. *</t>
  </si>
  <si>
    <t xml:space="preserve"> ---</t>
  </si>
  <si>
    <r>
      <t>*</t>
    </r>
    <r>
      <rPr>
        <sz val="10"/>
        <color theme="5" tint="-0.499984740745262"/>
        <rFont val="Calibri"/>
        <family val="2"/>
        <scheme val="minor"/>
      </rPr>
      <t xml:space="preserve"> Mittelwert der Prüfergebnisse (Zwischenergebnis für "rel. Erw. u")</t>
    </r>
  </si>
  <si>
    <t>fiktiver Datensatz zur Validierung des vorliegenden</t>
  </si>
  <si>
    <t>Rechenblattes</t>
  </si>
  <si>
    <t>mittels wissenschaftlichem Taschenrechner durchgeführt.</t>
  </si>
  <si>
    <t xml:space="preserve">Die Validierung wird hier mittels validierter Software bzw. </t>
  </si>
  <si>
    <t>Angaben zur Untersuchung:</t>
  </si>
  <si>
    <t>Weitere Angaben:</t>
  </si>
  <si>
    <t>Validierung</t>
  </si>
  <si>
    <t>Lars Alpers</t>
  </si>
  <si>
    <t>LA Toolsammlung</t>
  </si>
  <si>
    <t>lars-alpers@gmx.de</t>
  </si>
  <si>
    <t>HINWEIS: Das vorliegende Rechenblatt basiert auf meinen fachlichen Erfahrungen und Kenntnissen. Es arbeitet jedoch nicht nach einem genormten Verfahren.</t>
  </si>
  <si>
    <t>Berechnung der Unsicherheit der Probenahme</t>
  </si>
  <si>
    <t>Ein experimentelles Tool zur Ermittlung der Messunsicherheit einer Probenahme von nur einem Probenahmeort.</t>
  </si>
  <si>
    <t>Das auf www.la-toolsammlung.de vorgestellte Konzept zur Ermittlung der Unsicherheit der Probenahme setzt voraus, dass Proben aus verschiedenen Quellen entnommen werden.</t>
  </si>
  <si>
    <t>Median (als robste Bezugsgröße)</t>
  </si>
  <si>
    <t>Grubbs-Ausreißertest mit P% =</t>
  </si>
  <si>
    <t>Zur Information:</t>
  </si>
  <si>
    <t>durchgeführt am 14.05.2023</t>
  </si>
  <si>
    <t>Angaben zur Datenquelle</t>
  </si>
  <si>
    <t>Erstelldatum</t>
  </si>
  <si>
    <t>Ausreißerbereinigte Prüfergebnismittelwerte der Proben</t>
  </si>
  <si>
    <r>
      <t xml:space="preserve"> =&gt; Unsicherheit der Probenahme, u</t>
    </r>
    <r>
      <rPr>
        <vertAlign val="subscript"/>
        <sz val="12"/>
        <color theme="1"/>
        <rFont val="Calibri"/>
        <family val="2"/>
        <scheme val="minor"/>
      </rPr>
      <t>PN</t>
    </r>
    <r>
      <rPr>
        <sz val="11"/>
        <color theme="1"/>
        <rFont val="Calibri"/>
        <family val="2"/>
        <scheme val="minor"/>
      </rPr>
      <t>:</t>
    </r>
  </si>
  <si>
    <r>
      <t>Kombinierte Unsicherheit aller Proben, u</t>
    </r>
    <r>
      <rPr>
        <vertAlign val="subscript"/>
        <sz val="12"/>
        <color theme="1"/>
        <rFont val="Calibri"/>
        <family val="2"/>
        <scheme val="minor"/>
      </rPr>
      <t>ges</t>
    </r>
    <r>
      <rPr>
        <sz val="11"/>
        <color theme="1"/>
        <rFont val="Calibri"/>
        <family val="2"/>
        <scheme val="minor"/>
      </rPr>
      <t>:</t>
    </r>
  </si>
  <si>
    <r>
      <t>Mittlere Unsicherheit der Prüfergebnisse, u</t>
    </r>
    <r>
      <rPr>
        <vertAlign val="subscript"/>
        <sz val="12"/>
        <color theme="1"/>
        <rFont val="Calibri"/>
        <family val="2"/>
        <scheme val="minor"/>
      </rPr>
      <t>p</t>
    </r>
    <r>
      <rPr>
        <sz val="11"/>
        <color theme="1"/>
        <rFont val="Calibri"/>
        <family val="2"/>
        <scheme val="minor"/>
      </rPr>
      <t>:</t>
    </r>
  </si>
  <si>
    <r>
      <t>U</t>
    </r>
    <r>
      <rPr>
        <vertAlign val="subscript"/>
        <sz val="11"/>
        <color theme="1"/>
        <rFont val="Calibri"/>
        <family val="2"/>
        <scheme val="minor"/>
      </rPr>
      <t>PN</t>
    </r>
  </si>
  <si>
    <t xml:space="preserve"> erweitert</t>
  </si>
  <si>
    <t>Kombination von ermittelten Messunsicherheiten durch Mittelwertbildung</t>
  </si>
  <si>
    <t>und deren Mittelwert als Unsicherheit angegeben wird, sollte unbedingt eine fachlich plausible Begründung und Dokumentation erfolgen.</t>
  </si>
  <si>
    <t>Bitte prüfen Sie stehts, ob  die beabsichtigte Kombination nach fachlichen Gesichtspunkten auch tatsächlich hinreichend zulässig ist!</t>
  </si>
  <si>
    <r>
      <rPr>
        <b/>
        <u/>
        <sz val="11"/>
        <color theme="1"/>
        <rFont val="Calibri"/>
        <family val="2"/>
        <scheme val="minor"/>
      </rPr>
      <t>Bitte bachten</t>
    </r>
    <r>
      <rPr>
        <sz val="11"/>
        <color theme="1"/>
        <rFont val="Calibri"/>
        <family val="2"/>
        <scheme val="minor"/>
      </rPr>
      <t>: Die Kombination von Unsicherheitsangaben kann zur  Robustheit beitragen. Bevor jedoch ermittelte Messunsicherheiten kombiniert</t>
    </r>
  </si>
  <si>
    <t>Sofern jedoch lediglich eine Entnahmestelle verfügbar sein sollte, so kann dieses Tool zur Abschätzung der Unsicherheit der Probenahme eingesetzt werden.</t>
  </si>
  <si>
    <t>Abschätzung der Unsicherheit der Probenahme nach Entnahmen aus nur einer Entnahmestelle</t>
  </si>
  <si>
    <t>P.2 / Erg.2</t>
  </si>
  <si>
    <t>P.2 / Erg.1</t>
  </si>
  <si>
    <t>P.1 / Erg.2</t>
  </si>
  <si>
    <t>P.1 / Erg.1</t>
  </si>
  <si>
    <t>PN-Stelle 1</t>
  </si>
  <si>
    <t>PN-Stelle 2</t>
  </si>
  <si>
    <t>PN-Stelle 3</t>
  </si>
  <si>
    <t>PN-Stelle 4</t>
  </si>
  <si>
    <t>PN-Stelle 5</t>
  </si>
  <si>
    <t>PN-Stelle 6</t>
  </si>
  <si>
    <t>PN-Stelle 7</t>
  </si>
  <si>
    <t>PN-Stelle 8</t>
  </si>
  <si>
    <t>Erg.1</t>
  </si>
  <si>
    <t>Erg.2</t>
  </si>
  <si>
    <t>P.1</t>
  </si>
  <si>
    <t>P.2</t>
  </si>
  <si>
    <t>Quelle: https://aqs.iswa.uni-stuttgart.de/download/freeware.php , MU_Probenahme_v1.21xltx</t>
  </si>
  <si>
    <t>Ergebnisse der Berechnungen</t>
  </si>
  <si>
    <t>MU_Probenahme</t>
  </si>
  <si>
    <t>_v1.21xltx</t>
  </si>
  <si>
    <t>Classic</t>
  </si>
  <si>
    <t>robust</t>
  </si>
  <si>
    <t>ohne systematische Abweichung</t>
  </si>
  <si>
    <t>keine Angabe</t>
  </si>
  <si>
    <t>LA-Tool-Probenahme (nur eine Entnahmestelle)</t>
  </si>
  <si>
    <t>Prüfergebnis 1</t>
  </si>
  <si>
    <t>Prüfergebnis 2</t>
  </si>
  <si>
    <t>Mittelwert der gelisteten, relativen Unsicherheitsbeträge</t>
  </si>
  <si>
    <t>Toleranzbereich der Probenahmeunsicherheit</t>
  </si>
  <si>
    <t>der Probenahme ± Toleranz mit P=95% =</t>
  </si>
  <si>
    <t>"Sampling" / Erweiterte Probenahmeunsicherheit</t>
  </si>
  <si>
    <r>
      <t xml:space="preserve"> =&gt;  rel. U</t>
    </r>
    <r>
      <rPr>
        <vertAlign val="subscript"/>
        <sz val="11"/>
        <color theme="1"/>
        <rFont val="Calibri"/>
        <family val="2"/>
        <scheme val="minor"/>
      </rPr>
      <t>PN</t>
    </r>
  </si>
  <si>
    <t>Mittelwert der relativen, erweiterten Unsicherheitsbeträge der Probenahme (± Toleranz mit P=95%) =</t>
  </si>
  <si>
    <t>Nach Elimination der Daten von PN-Stelle 3</t>
  </si>
  <si>
    <t>Stellen Sie insbes. in Frage, ob die fraglichen Probenarten, Analyten oder Konzentrationsniveaus wirklich plausibel kombinierbar sind.</t>
  </si>
  <si>
    <t>Bitte jede PN-Stelle im Rechenblatt "U-Probenahme" einzeln auswerten und nachfolgend in das Rechenblatt "Kombinationen" übertragen</t>
  </si>
  <si>
    <t>P=95%; Prüfung gegen den Median</t>
  </si>
  <si>
    <t>Grubbs-Ausreißertest</t>
  </si>
  <si>
    <t>Median =</t>
  </si>
  <si>
    <t>Aktualisierungsdatum: 22.05.2023</t>
  </si>
  <si>
    <t>Tabellenblatt Kombinationen</t>
  </si>
  <si>
    <r>
      <t>U</t>
    </r>
    <r>
      <rPr>
        <vertAlign val="subscript"/>
        <sz val="11"/>
        <color theme="5" tint="-0.499984740745262"/>
        <rFont val="Calibri"/>
        <family val="2"/>
        <scheme val="minor"/>
      </rPr>
      <t>PN</t>
    </r>
  </si>
  <si>
    <r>
      <t xml:space="preserve"> =&gt;  rel. U</t>
    </r>
    <r>
      <rPr>
        <vertAlign val="subscript"/>
        <sz val="11"/>
        <color theme="5" tint="-0.499984740745262"/>
        <rFont val="Calibri"/>
        <family val="2"/>
        <scheme val="minor"/>
      </rPr>
      <t>PN</t>
    </r>
  </si>
  <si>
    <t>von</t>
  </si>
  <si>
    <t>bis</t>
  </si>
  <si>
    <t>11,2  ± 8</t>
  </si>
  <si>
    <t>Mittelwert</t>
  </si>
  <si>
    <t>PN-Stelle 9</t>
  </si>
  <si>
    <t>PN-Stelle 10</t>
  </si>
  <si>
    <t>Blei (mg/kg) in kontaminiertem Boden</t>
  </si>
  <si>
    <t>Quelle: Eurachem Guide "Measurement uncertainty arising from sampling": Table A2.2</t>
  </si>
  <si>
    <t>Datensatz aus dem Eurachem Guide "Measurement uncertainty arising from sampling": Nitrat in Kopfsalat aus Gewächshaus</t>
  </si>
  <si>
    <t>Gelöstes Eisen im Grundwasser</t>
  </si>
  <si>
    <t>Quelle: Eurachem Guide "Measurement uncertainty arising from sampling": Example A3 (Table A3.7)</t>
  </si>
  <si>
    <t>16,1 (± 14) %</t>
  </si>
  <si>
    <t>Gemäß vorliegenden Daten entspricht dieses einem Erwartungsbereich der Unsicherheit der Probenahme, von 3%  bis</t>
  </si>
  <si>
    <t>30 %</t>
  </si>
  <si>
    <t>68,5 (± 40) %</t>
  </si>
  <si>
    <t>Gemäß vorliegenden Daten entspricht dieses einem Erwartungsbereich der Unsicherheit der Probenahme, von 28%  bis</t>
  </si>
  <si>
    <t>109 %</t>
  </si>
  <si>
    <t>Gemäß vorliegenden Daten entspricht dieses einem Erwartungsbereich der Unsicherheit der Probenahme, von 5%  bis</t>
  </si>
  <si>
    <t>12 %</t>
  </si>
  <si>
    <t>Quelle: Eurachem Guide "Measurement uncertainty arising from sampling": Example A4, Table A4.4</t>
  </si>
  <si>
    <t>Vitamin A in Babybrei mit Obst und gemahlenem Getreide</t>
  </si>
  <si>
    <r>
      <t>U</t>
    </r>
    <r>
      <rPr>
        <vertAlign val="subscript"/>
        <sz val="11"/>
        <color theme="1"/>
        <rFont val="Calibri"/>
        <family val="2"/>
        <scheme val="minor"/>
      </rPr>
      <t>P</t>
    </r>
  </si>
  <si>
    <r>
      <t>U</t>
    </r>
    <r>
      <rPr>
        <vertAlign val="subscript"/>
        <sz val="11"/>
        <color theme="1"/>
        <rFont val="Calibri"/>
        <family val="2"/>
        <scheme val="minor"/>
      </rPr>
      <t>PN</t>
    </r>
    <r>
      <rPr>
        <sz val="11"/>
        <color theme="1"/>
        <rFont val="Calibri"/>
        <family val="2"/>
        <scheme val="minor"/>
      </rPr>
      <t>, erweitert</t>
    </r>
  </si>
  <si>
    <r>
      <t>U</t>
    </r>
    <r>
      <rPr>
        <vertAlign val="subscript"/>
        <sz val="9"/>
        <rFont val="Calibri"/>
        <family val="2"/>
        <scheme val="minor"/>
      </rPr>
      <t>PN</t>
    </r>
    <r>
      <rPr>
        <sz val="9"/>
        <rFont val="Calibri"/>
        <family val="2"/>
        <scheme val="minor"/>
      </rPr>
      <t xml:space="preserve"> signifikant?</t>
    </r>
  </si>
  <si>
    <t xml:space="preserve">        Ausreißer</t>
  </si>
  <si>
    <t>Grubbs-Test, P=95%, gegen Median</t>
  </si>
  <si>
    <t>als Ausreißer eliminieren? Wenn ja, "x" eingeben.</t>
  </si>
  <si>
    <t>Hinweis: Der Toleranzbereich wird über den t-Faktor berechnet und ist somit in erheblichem Maße auch von der  Anzahl an vorliegenden Daten abhängig.</t>
  </si>
  <si>
    <t>Angaben zur Auswertung:</t>
  </si>
  <si>
    <t>einbe-</t>
  </si>
  <si>
    <t>rel. Vertauensschwelle:</t>
  </si>
  <si>
    <t>ziehen</t>
  </si>
  <si>
    <t>Würde der Ausreißer eliminiert, so ergäbe sich ein Mittelwert der relativen, erweiterten Unsicherheitsbeträge der Probenahme (± Toleranz mit P=95%) von</t>
  </si>
  <si>
    <t>10,6 (± 4) %</t>
  </si>
  <si>
    <t>8,3 (± 4) %</t>
  </si>
  <si>
    <t>34,4 (± 19) %</t>
  </si>
  <si>
    <t>Gemäß vorliegenden Daten entspricht dieses einem Erwartungsbereich der Unsicherheit der Probenahme, von 15%  bis</t>
  </si>
  <si>
    <t>Spannweite</t>
  </si>
  <si>
    <t>Max</t>
  </si>
  <si>
    <t>Min</t>
  </si>
  <si>
    <r>
      <t>Σd²</t>
    </r>
    <r>
      <rPr>
        <vertAlign val="subscript"/>
        <sz val="11"/>
        <color theme="1"/>
        <rFont val="Calibri"/>
        <family val="2"/>
        <scheme val="minor"/>
      </rPr>
      <t>j</t>
    </r>
  </si>
  <si>
    <r>
      <t>S</t>
    </r>
    <r>
      <rPr>
        <vertAlign val="subscript"/>
        <sz val="11"/>
        <color theme="1"/>
        <rFont val="Calibri"/>
        <family val="2"/>
        <scheme val="minor"/>
      </rPr>
      <t>a</t>
    </r>
  </si>
  <si>
    <r>
      <t>S²</t>
    </r>
    <r>
      <rPr>
        <vertAlign val="subscript"/>
        <sz val="11"/>
        <color theme="1"/>
        <rFont val="Calibri"/>
        <family val="2"/>
        <scheme val="minor"/>
      </rPr>
      <t>xj</t>
    </r>
  </si>
  <si>
    <r>
      <t>n²</t>
    </r>
    <r>
      <rPr>
        <vertAlign val="subscript"/>
        <sz val="10"/>
        <color theme="1"/>
        <rFont val="Calibri"/>
        <family val="2"/>
        <scheme val="minor"/>
      </rPr>
      <t>a</t>
    </r>
    <r>
      <rPr>
        <sz val="10"/>
        <color theme="1"/>
        <rFont val="Calibri"/>
        <family val="2"/>
        <scheme val="minor"/>
      </rPr>
      <t xml:space="preserve"> / (n²</t>
    </r>
    <r>
      <rPr>
        <vertAlign val="subscript"/>
        <sz val="10"/>
        <color theme="1"/>
        <rFont val="Calibri"/>
        <family val="2"/>
        <scheme val="minor"/>
      </rPr>
      <t>a</t>
    </r>
    <r>
      <rPr>
        <sz val="10"/>
        <color theme="1"/>
        <rFont val="Calibri"/>
        <family val="2"/>
        <scheme val="minor"/>
      </rPr>
      <t xml:space="preserve"> + 1)</t>
    </r>
  </si>
  <si>
    <r>
      <t>s</t>
    </r>
    <r>
      <rPr>
        <vertAlign val="subscript"/>
        <sz val="11"/>
        <color theme="1"/>
        <rFont val="Calibri"/>
        <family val="2"/>
        <scheme val="minor"/>
      </rPr>
      <t>P</t>
    </r>
  </si>
  <si>
    <t>Anmerkung</t>
  </si>
  <si>
    <t>0,30602</t>
  </si>
  <si>
    <t/>
  </si>
  <si>
    <t>1,6567</t>
  </si>
  <si>
    <t>1,6282</t>
  </si>
  <si>
    <t>3,2564</t>
  </si>
  <si>
    <t>27,788</t>
  </si>
  <si>
    <t>Gemäß DIN 19698-2:2016-12 Anhang D war die Probenahme repräsentativ.</t>
  </si>
  <si>
    <t>Die Gleichungen gemäß DIN 19698-2 wurden validiert mit Hilfe der Datei "Anhang-2_Berechnung-Repraesentativitaet" der DEHSt sowie dem Beipiel D.2 aus der Norm.</t>
  </si>
  <si>
    <t>Rechenblatt erstellt: 19.02.2024</t>
  </si>
  <si>
    <t>Aktualisierungsdatum: 19.02.2024</t>
  </si>
  <si>
    <t>RANOVA2,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</si>
</sst>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quot; %&quot;"/>
    <numFmt numFmtId="165" formatCode="0.0000"/>
    <numFmt numFmtId="166" formatCode="0.000"/>
    <numFmt numFmtId="167" formatCode="0.0"/>
    <numFmt numFmtId="168" formatCode="General&quot;%&quot;"/>
  </numFmts>
  <fonts count="46" x14ac:knownFonts="1">
    <font>
      <sz val="11"/>
      <color theme="1"/>
      <name val="Calibri"/>
      <family val="2"/>
      <scheme val="minor"/>
    </font>
    <font>
      <b/>
      <sz val="11"/>
      <color theme="1"/>
      <name val="Calibri"/>
      <family val="2"/>
      <scheme val="minor"/>
    </font>
    <font>
      <u/>
      <sz val="11"/>
      <color theme="1"/>
      <name val="Calibri"/>
      <family val="2"/>
      <scheme val="minor"/>
    </font>
    <font>
      <sz val="9"/>
      <color indexed="81"/>
      <name val="Segoe UI"/>
      <family val="2"/>
    </font>
    <font>
      <b/>
      <sz val="9"/>
      <color indexed="81"/>
      <name val="Segoe UI"/>
      <family val="2"/>
    </font>
    <font>
      <sz val="11"/>
      <color rgb="FFFF0000"/>
      <name val="Calibri"/>
      <family val="2"/>
      <scheme val="minor"/>
    </font>
    <font>
      <vertAlign val="subscript"/>
      <sz val="12"/>
      <color theme="1"/>
      <name val="Calibri"/>
      <family val="2"/>
      <scheme val="minor"/>
    </font>
    <font>
      <b/>
      <sz val="12"/>
      <color theme="1"/>
      <name val="Calibri"/>
      <family val="2"/>
      <scheme val="minor"/>
    </font>
    <font>
      <i/>
      <sz val="11"/>
      <color theme="1"/>
      <name val="Calibri"/>
      <family val="2"/>
      <scheme val="minor"/>
    </font>
    <font>
      <sz val="8"/>
      <color theme="1"/>
      <name val="Calibri"/>
      <family val="2"/>
      <scheme val="minor"/>
    </font>
    <font>
      <sz val="11"/>
      <color theme="4" tint="-0.249977111117893"/>
      <name val="Calibri"/>
      <family val="2"/>
      <scheme val="minor"/>
    </font>
    <font>
      <u/>
      <sz val="11"/>
      <color theme="5" tint="-0.499984740745262"/>
      <name val="Calibri"/>
      <family val="2"/>
      <scheme val="minor"/>
    </font>
    <font>
      <sz val="11"/>
      <color theme="5" tint="-0.499984740745262"/>
      <name val="Calibri"/>
      <family val="2"/>
      <scheme val="minor"/>
    </font>
    <font>
      <sz val="10"/>
      <color theme="5" tint="-0.499984740745262"/>
      <name val="Calibri"/>
      <family val="2"/>
      <scheme val="minor"/>
    </font>
    <font>
      <sz val="10"/>
      <name val="Arial"/>
      <family val="2"/>
    </font>
    <font>
      <u/>
      <sz val="14"/>
      <name val="Arial"/>
      <family val="2"/>
    </font>
    <font>
      <u/>
      <sz val="10"/>
      <color indexed="12"/>
      <name val="Arial"/>
      <family val="2"/>
    </font>
    <font>
      <i/>
      <u/>
      <sz val="10"/>
      <color indexed="12"/>
      <name val="Arial"/>
      <family val="2"/>
    </font>
    <font>
      <sz val="14"/>
      <name val="Arial"/>
      <family val="2"/>
    </font>
    <font>
      <sz val="11"/>
      <name val="Arial"/>
      <family val="2"/>
    </font>
    <font>
      <u/>
      <sz val="11"/>
      <color theme="4" tint="-0.249977111117893"/>
      <name val="Calibri"/>
      <family val="2"/>
      <scheme val="minor"/>
    </font>
    <font>
      <b/>
      <sz val="11"/>
      <color theme="4" tint="-0.249977111117893"/>
      <name val="Calibri"/>
      <family val="2"/>
      <scheme val="minor"/>
    </font>
    <font>
      <u/>
      <sz val="9"/>
      <color indexed="81"/>
      <name val="Segoe UI"/>
      <family val="2"/>
    </font>
    <font>
      <vertAlign val="subscript"/>
      <sz val="11"/>
      <color theme="1"/>
      <name val="Calibri"/>
      <family val="2"/>
      <scheme val="minor"/>
    </font>
    <font>
      <sz val="10"/>
      <color theme="1"/>
      <name val="Calibri"/>
      <family val="2"/>
      <scheme val="minor"/>
    </font>
    <font>
      <b/>
      <u/>
      <sz val="11"/>
      <color theme="1"/>
      <name val="Calibri"/>
      <family val="2"/>
      <scheme val="minor"/>
    </font>
    <font>
      <b/>
      <sz val="14"/>
      <color theme="1"/>
      <name val="Calibri"/>
      <family val="2"/>
      <scheme val="minor"/>
    </font>
    <font>
      <sz val="11"/>
      <name val="Arial"/>
      <family val="2"/>
    </font>
    <font>
      <sz val="14"/>
      <name val="Arial"/>
      <family val="2"/>
    </font>
    <font>
      <sz val="11"/>
      <color rgb="FFC00000"/>
      <name val="Calibri"/>
      <family val="2"/>
      <scheme val="minor"/>
    </font>
    <font>
      <b/>
      <sz val="11"/>
      <color rgb="FFC00000"/>
      <name val="Calibri"/>
      <family val="2"/>
      <scheme val="minor"/>
    </font>
    <font>
      <sz val="11"/>
      <color theme="5" tint="-0.249977111117893"/>
      <name val="Calibri"/>
      <family val="2"/>
      <scheme val="minor"/>
    </font>
    <font>
      <sz val="8"/>
      <color theme="5" tint="-0.249977111117893"/>
      <name val="Calibri"/>
      <family val="2"/>
      <scheme val="minor"/>
    </font>
    <font>
      <b/>
      <sz val="11"/>
      <color theme="5" tint="-0.249977111117893"/>
      <name val="Calibri"/>
      <family val="2"/>
      <scheme val="minor"/>
    </font>
    <font>
      <sz val="8"/>
      <name val="Calibri"/>
      <family val="2"/>
      <scheme val="minor"/>
    </font>
    <font>
      <vertAlign val="subscript"/>
      <sz val="11"/>
      <color theme="5" tint="-0.499984740745262"/>
      <name val="Calibri"/>
      <family val="2"/>
      <scheme val="minor"/>
    </font>
    <font>
      <sz val="9"/>
      <name val="Calibri"/>
      <family val="2"/>
      <scheme val="minor"/>
    </font>
    <font>
      <vertAlign val="subscript"/>
      <sz val="9"/>
      <name val="Calibri"/>
      <family val="2"/>
      <scheme val="minor"/>
    </font>
    <font>
      <b/>
      <sz val="11"/>
      <color rgb="FFFF0000"/>
      <name val="Calibri"/>
      <family val="2"/>
      <scheme val="minor"/>
    </font>
    <font>
      <sz val="9"/>
      <color rgb="FF0000FF"/>
      <name val="Calibri"/>
      <family val="2"/>
      <scheme val="minor"/>
    </font>
    <font>
      <sz val="11"/>
      <name val="Calibri"/>
      <family val="2"/>
      <scheme val="minor"/>
    </font>
    <font>
      <vertAlign val="subscript"/>
      <sz val="10"/>
      <color indexed="81"/>
      <name val="Segoe UI"/>
      <family val="2"/>
    </font>
    <font>
      <sz val="11"/>
      <color rgb="FF0000FF"/>
      <name val="Calibri"/>
      <family val="2"/>
      <scheme val="minor"/>
    </font>
    <font>
      <vertAlign val="subscript"/>
      <sz val="10"/>
      <color theme="1"/>
      <name val="Calibri"/>
      <family val="2"/>
      <scheme val="minor"/>
    </font>
    <font>
      <i/>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theme="4" tint="-0.24994659260841701"/>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medium">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hair">
        <color theme="4" tint="-0.24994659260841701"/>
      </left>
      <right style="hair">
        <color theme="4" tint="-0.24994659260841701"/>
      </right>
      <top style="hair">
        <color theme="4" tint="-0.24994659260841701"/>
      </top>
      <bottom style="thin">
        <color theme="4" tint="-0.24994659260841701"/>
      </bottom>
      <diagonal/>
    </border>
    <border>
      <left style="thin">
        <color theme="4" tint="-0.24994659260841701"/>
      </left>
      <right style="thin">
        <color theme="4" tint="-0.24994659260841701"/>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top style="hair">
        <color auto="1"/>
      </top>
      <bottom style="hair">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s>
  <cellStyleXfs count="3">
    <xf numFmtId="0" fontId="0" fillId="0" borderId="0"/>
    <xf numFmtId="0" fontId="14" fillId="0" borderId="0"/>
    <xf numFmtId="0" fontId="16" fillId="0" borderId="0" applyNumberFormat="0" applyFill="0" applyBorder="0" applyAlignment="0" applyProtection="0">
      <alignment vertical="top"/>
      <protection locked="0"/>
    </xf>
  </cellStyleXfs>
  <cellXfs count="264">
    <xf numFmtId="0" fontId="0" fillId="0" borderId="0" xfId="0"/>
    <xf numFmtId="0" fontId="2" fillId="2" borderId="0" xfId="0" applyFont="1" applyFill="1"/>
    <xf numFmtId="0" fontId="0" fillId="2" borderId="0" xfId="0" applyFill="1"/>
    <xf numFmtId="0" fontId="0" fillId="2" borderId="2" xfId="0" applyFill="1" applyBorder="1"/>
    <xf numFmtId="0" fontId="0" fillId="2" borderId="3" xfId="0" applyFill="1" applyBorder="1"/>
    <xf numFmtId="0" fontId="0" fillId="2" borderId="1" xfId="0" applyFill="1" applyBorder="1"/>
    <xf numFmtId="0" fontId="0" fillId="2" borderId="7" xfId="0" applyFill="1" applyBorder="1" applyAlignment="1">
      <alignment vertical="center"/>
    </xf>
    <xf numFmtId="0" fontId="0" fillId="2" borderId="1" xfId="0" applyFill="1" applyBorder="1" applyAlignment="1">
      <alignment vertical="center"/>
    </xf>
    <xf numFmtId="0" fontId="0" fillId="2" borderId="4" xfId="0" applyFill="1" applyBorder="1" applyAlignment="1">
      <alignment horizontal="centerContinuous"/>
    </xf>
    <xf numFmtId="0" fontId="0" fillId="2" borderId="5" xfId="0" applyFill="1" applyBorder="1" applyAlignment="1">
      <alignment horizontal="centerContinuous"/>
    </xf>
    <xf numFmtId="0" fontId="0" fillId="2" borderId="6" xfId="0" applyFill="1" applyBorder="1" applyAlignment="1">
      <alignment horizontal="centerContinuous"/>
    </xf>
    <xf numFmtId="0" fontId="1" fillId="2" borderId="0" xfId="0" applyFont="1" applyFill="1"/>
    <xf numFmtId="0" fontId="7" fillId="2" borderId="0" xfId="0" applyFont="1" applyFill="1"/>
    <xf numFmtId="0" fontId="0" fillId="2" borderId="9" xfId="0" applyFill="1" applyBorder="1"/>
    <xf numFmtId="0" fontId="8" fillId="2" borderId="0" xfId="0" applyFont="1" applyFill="1"/>
    <xf numFmtId="0" fontId="0" fillId="2" borderId="10" xfId="0" applyFill="1" applyBorder="1"/>
    <xf numFmtId="0" fontId="0" fillId="2" borderId="3" xfId="0" applyFill="1" applyBorder="1" applyProtection="1">
      <protection locked="0"/>
    </xf>
    <xf numFmtId="0" fontId="0" fillId="2" borderId="1" xfId="0" applyFill="1" applyBorder="1" applyProtection="1">
      <protection locked="0"/>
    </xf>
    <xf numFmtId="0" fontId="9" fillId="2" borderId="0" xfId="0" applyFont="1" applyFill="1" applyAlignment="1">
      <alignment horizontal="right"/>
    </xf>
    <xf numFmtId="0" fontId="5" fillId="2" borderId="0" xfId="0" applyFont="1" applyFill="1"/>
    <xf numFmtId="0" fontId="0" fillId="2" borderId="3" xfId="0" applyFill="1" applyBorder="1" applyAlignment="1">
      <alignment horizontal="right"/>
    </xf>
    <xf numFmtId="0" fontId="0" fillId="2" borderId="11" xfId="0" applyFill="1" applyBorder="1"/>
    <xf numFmtId="0" fontId="10" fillId="2" borderId="11" xfId="0" applyFont="1" applyFill="1" applyBorder="1"/>
    <xf numFmtId="0" fontId="10" fillId="2" borderId="11" xfId="0" applyFont="1" applyFill="1" applyBorder="1" applyAlignment="1">
      <alignment horizontal="right"/>
    </xf>
    <xf numFmtId="0" fontId="10" fillId="2" borderId="12" xfId="0" applyFont="1" applyFill="1" applyBorder="1" applyAlignment="1" applyProtection="1">
      <alignment horizontal="left"/>
      <protection locked="0"/>
    </xf>
    <xf numFmtId="0" fontId="2" fillId="2" borderId="0" xfId="0" applyFont="1" applyFill="1" applyProtection="1"/>
    <xf numFmtId="0" fontId="0" fillId="2" borderId="0" xfId="0" applyFill="1" applyProtection="1"/>
    <xf numFmtId="0" fontId="9" fillId="2" borderId="0" xfId="0" applyFont="1" applyFill="1" applyAlignment="1" applyProtection="1">
      <alignment horizontal="right"/>
    </xf>
    <xf numFmtId="0" fontId="0" fillId="2" borderId="0" xfId="0" applyFill="1" applyBorder="1" applyProtection="1"/>
    <xf numFmtId="0" fontId="8" fillId="2" borderId="0" xfId="0" applyFont="1" applyFill="1" applyProtection="1"/>
    <xf numFmtId="0" fontId="0" fillId="2" borderId="11" xfId="0" applyFill="1" applyBorder="1" applyProtection="1"/>
    <xf numFmtId="0" fontId="0" fillId="2" borderId="8" xfId="0" applyFill="1" applyBorder="1" applyAlignment="1" applyProtection="1"/>
    <xf numFmtId="0" fontId="0" fillId="2" borderId="0" xfId="0" applyFont="1" applyFill="1" applyProtection="1"/>
    <xf numFmtId="0" fontId="0" fillId="2" borderId="8" xfId="0" applyFill="1" applyBorder="1" applyAlignment="1" applyProtection="1">
      <alignment horizontal="left"/>
    </xf>
    <xf numFmtId="0" fontId="10" fillId="2" borderId="11" xfId="0" applyFont="1" applyFill="1" applyBorder="1" applyProtection="1"/>
    <xf numFmtId="0" fontId="0" fillId="2" borderId="0" xfId="0" applyFill="1" applyBorder="1" applyAlignment="1" applyProtection="1">
      <alignment horizontal="left"/>
    </xf>
    <xf numFmtId="0" fontId="10" fillId="2" borderId="11" xfId="0" applyFont="1" applyFill="1" applyBorder="1" applyAlignment="1" applyProtection="1">
      <alignment horizontal="right"/>
    </xf>
    <xf numFmtId="0" fontId="10" fillId="2" borderId="12" xfId="0" applyFont="1" applyFill="1" applyBorder="1" applyAlignment="1" applyProtection="1">
      <alignment horizontal="left"/>
    </xf>
    <xf numFmtId="0" fontId="0" fillId="2" borderId="2" xfId="0" applyFill="1" applyBorder="1" applyProtection="1"/>
    <xf numFmtId="0" fontId="11" fillId="2" borderId="0" xfId="0" applyFont="1" applyFill="1" applyProtection="1"/>
    <xf numFmtId="0" fontId="12" fillId="2" borderId="0" xfId="0" applyFont="1" applyFill="1" applyProtection="1"/>
    <xf numFmtId="0" fontId="0" fillId="2" borderId="3" xfId="0" applyFill="1" applyBorder="1" applyProtection="1"/>
    <xf numFmtId="0" fontId="0" fillId="2" borderId="1" xfId="0" applyFill="1" applyBorder="1" applyProtection="1"/>
    <xf numFmtId="0" fontId="12" fillId="2" borderId="13" xfId="0" applyFont="1" applyFill="1" applyBorder="1" applyProtection="1"/>
    <xf numFmtId="0" fontId="12" fillId="2" borderId="14" xfId="0" applyFont="1" applyFill="1" applyBorder="1" applyProtection="1"/>
    <xf numFmtId="0" fontId="12" fillId="2" borderId="15" xfId="0" applyFont="1" applyFill="1" applyBorder="1" applyProtection="1"/>
    <xf numFmtId="0" fontId="12" fillId="2" borderId="16" xfId="0" applyFont="1" applyFill="1" applyBorder="1" applyProtection="1"/>
    <xf numFmtId="0" fontId="12" fillId="2" borderId="7" xfId="0" applyFont="1" applyFill="1" applyBorder="1" applyProtection="1"/>
    <xf numFmtId="0" fontId="12" fillId="2" borderId="7" xfId="0" applyFont="1" applyFill="1" applyBorder="1" applyAlignment="1" applyProtection="1">
      <alignment horizontal="center"/>
    </xf>
    <xf numFmtId="0" fontId="12" fillId="2" borderId="3" xfId="0" applyFont="1" applyFill="1" applyBorder="1" applyProtection="1"/>
    <xf numFmtId="0" fontId="12" fillId="2" borderId="3" xfId="0" applyFont="1" applyFill="1" applyBorder="1" applyAlignment="1" applyProtection="1">
      <alignment horizontal="center"/>
    </xf>
    <xf numFmtId="0" fontId="12" fillId="2" borderId="1" xfId="0" applyFont="1" applyFill="1" applyBorder="1" applyProtection="1"/>
    <xf numFmtId="0" fontId="12" fillId="2" borderId="1" xfId="0" applyFont="1" applyFill="1" applyBorder="1" applyAlignment="1" applyProtection="1">
      <alignment horizontal="center"/>
    </xf>
    <xf numFmtId="0" fontId="12" fillId="2" borderId="0" xfId="0" applyFont="1" applyFill="1" applyAlignment="1" applyProtection="1">
      <alignment horizontal="center"/>
    </xf>
    <xf numFmtId="0" fontId="0" fillId="2" borderId="10" xfId="0" applyFill="1" applyBorder="1" applyProtection="1"/>
    <xf numFmtId="0" fontId="0" fillId="2" borderId="3" xfId="0" applyFill="1" applyBorder="1" applyAlignment="1" applyProtection="1">
      <alignment horizontal="right"/>
    </xf>
    <xf numFmtId="0" fontId="0" fillId="2" borderId="0" xfId="0" applyFill="1" applyBorder="1" applyAlignment="1" applyProtection="1">
      <alignment horizontal="right"/>
    </xf>
    <xf numFmtId="0" fontId="1" fillId="2" borderId="0" xfId="0" applyFont="1" applyFill="1" applyProtection="1"/>
    <xf numFmtId="0" fontId="7" fillId="2" borderId="0" xfId="0" applyFont="1" applyFill="1" applyBorder="1" applyAlignment="1" applyProtection="1">
      <alignment horizontal="right"/>
    </xf>
    <xf numFmtId="0" fontId="7" fillId="2" borderId="0" xfId="0" applyFont="1" applyFill="1" applyProtection="1"/>
    <xf numFmtId="0" fontId="5" fillId="2" borderId="0" xfId="0" applyFont="1" applyFill="1" applyProtection="1"/>
    <xf numFmtId="0" fontId="0" fillId="2" borderId="9" xfId="0" applyFill="1" applyBorder="1" applyProtection="1"/>
    <xf numFmtId="0" fontId="15" fillId="3" borderId="0" xfId="1" applyFont="1" applyFill="1" applyProtection="1">
      <protection hidden="1"/>
    </xf>
    <xf numFmtId="0" fontId="14" fillId="3" borderId="0" xfId="1" applyFill="1" applyProtection="1">
      <protection hidden="1"/>
    </xf>
    <xf numFmtId="0" fontId="17" fillId="3" borderId="0" xfId="2" applyFont="1" applyFill="1" applyAlignment="1" applyProtection="1">
      <protection hidden="1"/>
    </xf>
    <xf numFmtId="0" fontId="19" fillId="2" borderId="0" xfId="1" applyFont="1" applyFill="1" applyAlignment="1" applyProtection="1">
      <alignment horizontal="left"/>
      <protection hidden="1"/>
    </xf>
    <xf numFmtId="0" fontId="14" fillId="2" borderId="0" xfId="1" applyFill="1" applyProtection="1">
      <protection hidden="1"/>
    </xf>
    <xf numFmtId="0" fontId="10" fillId="2" borderId="18" xfId="0" applyFont="1" applyFill="1" applyBorder="1" applyAlignment="1">
      <alignment horizontal="center"/>
    </xf>
    <xf numFmtId="0" fontId="10" fillId="2" borderId="17" xfId="0" applyFont="1" applyFill="1" applyBorder="1" applyAlignment="1">
      <alignment horizontal="center"/>
    </xf>
    <xf numFmtId="0" fontId="10" fillId="2" borderId="19" xfId="0" applyFont="1" applyFill="1" applyBorder="1" applyAlignment="1">
      <alignment horizontal="center"/>
    </xf>
    <xf numFmtId="0" fontId="10" fillId="2" borderId="20" xfId="0" applyFont="1" applyFill="1" applyBorder="1" applyAlignment="1">
      <alignment horizontal="centerContinuous"/>
    </xf>
    <xf numFmtId="0" fontId="0" fillId="2" borderId="21" xfId="0" applyFill="1" applyBorder="1" applyAlignment="1">
      <alignment horizontal="centerContinuous"/>
    </xf>
    <xf numFmtId="0" fontId="0" fillId="2" borderId="22" xfId="0" applyFill="1" applyBorder="1" applyAlignment="1">
      <alignment horizontal="centerContinuous"/>
    </xf>
    <xf numFmtId="0" fontId="20" fillId="2" borderId="0" xfId="0" applyFont="1" applyFill="1" applyAlignment="1">
      <alignment horizontal="right" vertical="center"/>
    </xf>
    <xf numFmtId="0" fontId="5" fillId="2" borderId="24" xfId="0" applyFont="1" applyFill="1" applyBorder="1" applyAlignment="1">
      <alignment horizontal="center"/>
    </xf>
    <xf numFmtId="0" fontId="21" fillId="2" borderId="0" xfId="0" applyFont="1" applyFill="1"/>
    <xf numFmtId="0" fontId="20" fillId="2" borderId="23" xfId="0" applyFont="1" applyFill="1" applyBorder="1" applyAlignment="1" applyProtection="1">
      <alignment horizontal="left" vertical="center"/>
      <protection locked="0"/>
    </xf>
    <xf numFmtId="0" fontId="0" fillId="2" borderId="0" xfId="0" applyFill="1" applyAlignment="1">
      <alignment vertical="top" wrapText="1"/>
    </xf>
    <xf numFmtId="0" fontId="9" fillId="2" borderId="0" xfId="0" applyFont="1" applyFill="1"/>
    <xf numFmtId="0" fontId="0" fillId="2" borderId="0" xfId="0" applyFill="1" applyAlignment="1">
      <alignment horizontal="left"/>
    </xf>
    <xf numFmtId="0" fontId="0" fillId="2" borderId="7" xfId="0" applyFill="1" applyBorder="1" applyAlignment="1">
      <alignment vertical="top" wrapText="1"/>
    </xf>
    <xf numFmtId="0" fontId="0" fillId="2" borderId="25" xfId="0" applyFill="1" applyBorder="1" applyAlignment="1">
      <alignment vertical="top" wrapText="1"/>
    </xf>
    <xf numFmtId="0" fontId="0" fillId="2" borderId="9" xfId="0" applyFill="1" applyBorder="1" applyAlignment="1">
      <alignment horizontal="centerContinuous" vertical="top" wrapText="1"/>
    </xf>
    <xf numFmtId="0" fontId="0" fillId="2" borderId="25" xfId="0" applyFill="1" applyBorder="1" applyAlignment="1">
      <alignment horizontal="centerContinuous" vertical="top" wrapText="1"/>
    </xf>
    <xf numFmtId="0" fontId="0" fillId="2" borderId="14" xfId="0" applyFill="1" applyBorder="1" applyAlignment="1">
      <alignment vertical="top" wrapText="1"/>
    </xf>
    <xf numFmtId="0" fontId="0" fillId="2" borderId="3" xfId="0" applyFill="1" applyBorder="1" applyAlignment="1">
      <alignment vertical="center"/>
    </xf>
    <xf numFmtId="0" fontId="0" fillId="2" borderId="26" xfId="0" applyFill="1" applyBorder="1" applyAlignment="1">
      <alignment vertical="center"/>
    </xf>
    <xf numFmtId="0" fontId="0" fillId="2" borderId="16" xfId="0" applyFill="1" applyBorder="1" applyAlignment="1">
      <alignment vertical="center" wrapText="1"/>
    </xf>
    <xf numFmtId="0" fontId="0" fillId="2" borderId="3" xfId="0" applyFill="1" applyBorder="1" applyAlignment="1">
      <alignment vertical="center" wrapText="1"/>
    </xf>
    <xf numFmtId="0" fontId="0" fillId="2" borderId="28" xfId="0" applyFill="1" applyBorder="1" applyAlignment="1">
      <alignment vertical="center" wrapText="1"/>
    </xf>
    <xf numFmtId="0" fontId="0" fillId="2" borderId="16" xfId="0" applyFill="1" applyBorder="1" applyAlignment="1">
      <alignment horizontal="right" vertical="center" wrapText="1"/>
    </xf>
    <xf numFmtId="0" fontId="0" fillId="2" borderId="3" xfId="0" applyFill="1" applyBorder="1" applyAlignment="1">
      <alignment horizontal="right" vertical="center" wrapText="1"/>
    </xf>
    <xf numFmtId="0" fontId="0" fillId="2" borderId="6" xfId="0" applyFill="1" applyBorder="1"/>
    <xf numFmtId="0" fontId="0" fillId="2" borderId="0" xfId="0" applyFill="1" applyAlignment="1">
      <alignment horizontal="right"/>
    </xf>
    <xf numFmtId="0" fontId="0" fillId="2" borderId="27" xfId="0" applyFill="1" applyBorder="1" applyProtection="1">
      <protection locked="0"/>
    </xf>
    <xf numFmtId="0" fontId="0" fillId="2" borderId="6" xfId="0" applyFill="1" applyBorder="1" applyProtection="1">
      <protection locked="0"/>
    </xf>
    <xf numFmtId="0" fontId="0" fillId="2" borderId="2" xfId="0" applyFill="1" applyBorder="1" applyProtection="1">
      <protection locked="0"/>
    </xf>
    <xf numFmtId="0" fontId="0" fillId="2" borderId="29" xfId="0" applyFill="1" applyBorder="1" applyProtection="1">
      <protection locked="0"/>
    </xf>
    <xf numFmtId="0" fontId="0" fillId="2" borderId="30" xfId="0" applyFill="1" applyBorder="1" applyProtection="1">
      <protection locked="0"/>
    </xf>
    <xf numFmtId="0" fontId="26" fillId="2" borderId="0" xfId="0" applyFont="1" applyFill="1"/>
    <xf numFmtId="0" fontId="27" fillId="2" borderId="0" xfId="1" applyFont="1" applyFill="1" applyAlignment="1" applyProtection="1">
      <alignment horizontal="left"/>
      <protection hidden="1"/>
    </xf>
    <xf numFmtId="164" fontId="0" fillId="2" borderId="1" xfId="0" applyNumberFormat="1" applyFill="1" applyBorder="1"/>
    <xf numFmtId="164" fontId="0" fillId="2" borderId="2" xfId="0" applyNumberFormat="1" applyFill="1" applyBorder="1"/>
    <xf numFmtId="0" fontId="0" fillId="0" borderId="31" xfId="0" applyBorder="1"/>
    <xf numFmtId="0" fontId="0" fillId="0" borderId="15" xfId="0" applyBorder="1"/>
    <xf numFmtId="0" fontId="0" fillId="0" borderId="8" xfId="0" applyBorder="1"/>
    <xf numFmtId="0" fontId="0" fillId="0" borderId="1" xfId="0" applyBorder="1"/>
    <xf numFmtId="0" fontId="0" fillId="0" borderId="36" xfId="0" applyBorder="1"/>
    <xf numFmtId="0" fontId="0" fillId="0" borderId="37" xfId="0" applyBorder="1"/>
    <xf numFmtId="0" fontId="1" fillId="0" borderId="33" xfId="0" applyFont="1" applyBorder="1"/>
    <xf numFmtId="0" fontId="0" fillId="0" borderId="34" xfId="0" applyBorder="1" applyAlignment="1">
      <alignment horizontal="center"/>
    </xf>
    <xf numFmtId="0" fontId="0" fillId="0" borderId="35"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0" fontId="0" fillId="0" borderId="16" xfId="0" applyBorder="1" applyAlignment="1">
      <alignment horizontal="center"/>
    </xf>
    <xf numFmtId="0" fontId="0" fillId="0" borderId="3" xfId="0" applyBorder="1"/>
    <xf numFmtId="0" fontId="0" fillId="0" borderId="7" xfId="0" applyBorder="1"/>
    <xf numFmtId="0" fontId="0" fillId="0" borderId="3" xfId="0" applyBorder="1" applyAlignment="1">
      <alignment horizontal="center"/>
    </xf>
    <xf numFmtId="10" fontId="0" fillId="0" borderId="3" xfId="0" applyNumberFormat="1" applyBorder="1" applyAlignment="1">
      <alignment horizontal="center"/>
    </xf>
    <xf numFmtId="0" fontId="0" fillId="0" borderId="1" xfId="0" applyBorder="1" applyAlignment="1">
      <alignment horizontal="center"/>
    </xf>
    <xf numFmtId="0" fontId="2" fillId="0" borderId="0" xfId="0" applyFont="1"/>
    <xf numFmtId="0" fontId="0" fillId="0" borderId="7" xfId="0" applyBorder="1" applyAlignment="1">
      <alignment horizontal="centerContinuous"/>
    </xf>
    <xf numFmtId="10" fontId="1" fillId="0" borderId="1" xfId="0" applyNumberFormat="1" applyFont="1" applyBorder="1" applyAlignment="1">
      <alignment horizontal="center"/>
    </xf>
    <xf numFmtId="0" fontId="1" fillId="0" borderId="0" xfId="0" applyFont="1"/>
    <xf numFmtId="0" fontId="1" fillId="2" borderId="40" xfId="0" applyFont="1" applyFill="1" applyBorder="1" applyAlignment="1">
      <alignment horizontal="left"/>
    </xf>
    <xf numFmtId="0" fontId="29" fillId="0" borderId="0" xfId="0" applyFont="1" applyAlignment="1">
      <alignment horizontal="right"/>
    </xf>
    <xf numFmtId="0" fontId="29" fillId="0" borderId="0" xfId="0" applyFont="1"/>
    <xf numFmtId="10" fontId="29" fillId="0" borderId="1" xfId="0" applyNumberFormat="1" applyFont="1" applyBorder="1" applyAlignment="1">
      <alignment horizontal="center"/>
    </xf>
    <xf numFmtId="0" fontId="30" fillId="0" borderId="0" xfId="0" applyFont="1"/>
    <xf numFmtId="0" fontId="32" fillId="2" borderId="0" xfId="0" applyFont="1" applyFill="1" applyAlignment="1">
      <alignment vertical="top"/>
    </xf>
    <xf numFmtId="0" fontId="32" fillId="2" borderId="0" xfId="0" applyFont="1" applyFill="1" applyAlignment="1">
      <alignment horizontal="right" vertical="top"/>
    </xf>
    <xf numFmtId="164" fontId="32" fillId="2" borderId="0" xfId="0" applyNumberFormat="1" applyFont="1" applyFill="1" applyAlignment="1">
      <alignment horizontal="left" vertical="top"/>
    </xf>
    <xf numFmtId="0" fontId="0" fillId="2" borderId="41" xfId="0" applyFill="1" applyBorder="1" applyProtection="1"/>
    <xf numFmtId="0" fontId="0" fillId="2" borderId="30" xfId="0" applyFill="1" applyBorder="1"/>
    <xf numFmtId="0" fontId="0" fillId="2" borderId="0" xfId="0" applyFill="1" applyAlignment="1"/>
    <xf numFmtId="0" fontId="1" fillId="2" borderId="0" xfId="0" applyFont="1" applyFill="1" applyAlignment="1"/>
    <xf numFmtId="0" fontId="0" fillId="2" borderId="7" xfId="0" applyFill="1" applyBorder="1" applyAlignment="1">
      <alignment vertical="top"/>
    </xf>
    <xf numFmtId="0" fontId="0" fillId="2" borderId="25" xfId="0" applyFill="1" applyBorder="1" applyAlignment="1">
      <alignment vertical="top"/>
    </xf>
    <xf numFmtId="0" fontId="0" fillId="2" borderId="9" xfId="0" applyFill="1" applyBorder="1" applyAlignment="1">
      <alignment horizontal="center" vertical="top"/>
    </xf>
    <xf numFmtId="0" fontId="0" fillId="2" borderId="25" xfId="0" applyFill="1" applyBorder="1" applyAlignment="1">
      <alignment horizontal="center" vertical="top"/>
    </xf>
    <xf numFmtId="0" fontId="0" fillId="2" borderId="14" xfId="0" applyFill="1" applyBorder="1" applyAlignment="1">
      <alignment vertical="top"/>
    </xf>
    <xf numFmtId="0" fontId="0" fillId="2" borderId="16" xfId="0" applyFill="1" applyBorder="1" applyAlignment="1">
      <alignment vertical="center"/>
    </xf>
    <xf numFmtId="0" fontId="0" fillId="2" borderId="28" xfId="0" applyFill="1" applyBorder="1" applyAlignment="1">
      <alignment vertical="center"/>
    </xf>
    <xf numFmtId="0" fontId="0" fillId="2" borderId="16" xfId="0" applyFill="1" applyBorder="1" applyAlignment="1">
      <alignment horizontal="right" vertical="center"/>
    </xf>
    <xf numFmtId="0" fontId="0" fillId="2" borderId="1" xfId="0" applyFill="1" applyBorder="1" applyAlignment="1" applyProtection="1">
      <protection locked="0"/>
    </xf>
    <xf numFmtId="0" fontId="0" fillId="2" borderId="27" xfId="0" applyFill="1" applyBorder="1" applyAlignment="1" applyProtection="1">
      <protection locked="0"/>
    </xf>
    <xf numFmtId="0" fontId="0" fillId="2" borderId="6" xfId="0" applyFill="1" applyBorder="1" applyAlignment="1" applyProtection="1">
      <protection locked="0"/>
    </xf>
    <xf numFmtId="0" fontId="0" fillId="2" borderId="2" xfId="0" applyFill="1" applyBorder="1" applyAlignment="1" applyProtection="1">
      <protection locked="0"/>
    </xf>
    <xf numFmtId="0" fontId="0" fillId="2" borderId="29" xfId="0" applyFill="1" applyBorder="1" applyAlignment="1" applyProtection="1">
      <protection locked="0"/>
    </xf>
    <xf numFmtId="0" fontId="0" fillId="2" borderId="30" xfId="0" applyFill="1" applyBorder="1" applyAlignment="1" applyProtection="1">
      <protection locked="0"/>
    </xf>
    <xf numFmtId="0" fontId="5" fillId="2" borderId="0" xfId="0" applyFont="1" applyFill="1" applyAlignment="1"/>
    <xf numFmtId="0" fontId="26" fillId="2" borderId="0" xfId="0" applyFont="1" applyFill="1" applyProtection="1"/>
    <xf numFmtId="0" fontId="7" fillId="2" borderId="0" xfId="0" applyFont="1" applyFill="1" applyAlignment="1"/>
    <xf numFmtId="0" fontId="0" fillId="2" borderId="43" xfId="0" applyFill="1" applyBorder="1" applyAlignment="1">
      <alignment vertical="top"/>
    </xf>
    <xf numFmtId="0" fontId="0" fillId="2" borderId="44" xfId="0" applyFill="1" applyBorder="1" applyAlignment="1">
      <alignment horizontal="right" vertical="center"/>
    </xf>
    <xf numFmtId="164" fontId="0" fillId="2" borderId="45" xfId="0" applyNumberFormat="1" applyFill="1" applyBorder="1" applyAlignment="1"/>
    <xf numFmtId="164" fontId="0" fillId="2" borderId="42" xfId="0" applyNumberFormat="1" applyFill="1" applyBorder="1" applyAlignment="1"/>
    <xf numFmtId="0" fontId="12" fillId="2" borderId="13" xfId="0" applyFont="1" applyFill="1" applyBorder="1" applyAlignment="1" applyProtection="1">
      <alignment horizontal="centerContinuous"/>
    </xf>
    <xf numFmtId="0" fontId="12" fillId="2" borderId="14" xfId="0" applyFont="1" applyFill="1" applyBorder="1" applyAlignment="1" applyProtection="1">
      <alignment horizontal="centerContinuous"/>
    </xf>
    <xf numFmtId="0" fontId="12" fillId="2" borderId="15" xfId="0" applyFont="1" applyFill="1" applyBorder="1" applyAlignment="1" applyProtection="1">
      <alignment horizontal="centerContinuous"/>
    </xf>
    <xf numFmtId="0" fontId="12" fillId="2" borderId="16" xfId="0" applyFont="1" applyFill="1" applyBorder="1" applyAlignment="1" applyProtection="1">
      <alignment horizontal="centerContinuous"/>
    </xf>
    <xf numFmtId="0" fontId="12" fillId="2" borderId="16" xfId="0" applyFont="1" applyFill="1" applyBorder="1" applyAlignment="1">
      <alignment horizontal="right" vertical="center"/>
    </xf>
    <xf numFmtId="0" fontId="12" fillId="2" borderId="14" xfId="0" applyFont="1" applyFill="1" applyBorder="1" applyAlignment="1">
      <alignment vertical="top"/>
    </xf>
    <xf numFmtId="0" fontId="12" fillId="2" borderId="46" xfId="0" applyFont="1" applyFill="1" applyBorder="1" applyAlignment="1">
      <alignment horizontal="right"/>
    </xf>
    <xf numFmtId="165" fontId="0" fillId="2" borderId="6" xfId="0" applyNumberFormat="1" applyFill="1" applyBorder="1" applyAlignment="1"/>
    <xf numFmtId="165" fontId="0" fillId="2" borderId="30" xfId="0" applyNumberFormat="1" applyFill="1" applyBorder="1" applyAlignment="1"/>
    <xf numFmtId="165" fontId="12" fillId="2" borderId="6" xfId="0" applyNumberFormat="1" applyFont="1" applyFill="1" applyBorder="1" applyAlignment="1"/>
    <xf numFmtId="166" fontId="0" fillId="2" borderId="1" xfId="0" applyNumberFormat="1" applyFill="1" applyBorder="1" applyAlignment="1"/>
    <xf numFmtId="166" fontId="0" fillId="2" borderId="2" xfId="0" applyNumberFormat="1" applyFill="1" applyBorder="1" applyAlignment="1"/>
    <xf numFmtId="166" fontId="12" fillId="2" borderId="1" xfId="0" applyNumberFormat="1" applyFont="1" applyFill="1" applyBorder="1" applyAlignment="1"/>
    <xf numFmtId="166" fontId="12" fillId="2" borderId="2" xfId="0" applyNumberFormat="1" applyFont="1" applyFill="1" applyBorder="1" applyAlignment="1"/>
    <xf numFmtId="165" fontId="12" fillId="2" borderId="30" xfId="0" applyNumberFormat="1" applyFont="1" applyFill="1" applyBorder="1" applyAlignment="1"/>
    <xf numFmtId="0" fontId="12" fillId="2" borderId="9" xfId="0" applyFont="1" applyFill="1" applyBorder="1" applyAlignment="1" applyProtection="1">
      <alignment horizontal="centerContinuous"/>
    </xf>
    <xf numFmtId="0" fontId="12" fillId="2" borderId="8" xfId="0" applyFont="1" applyFill="1" applyBorder="1" applyAlignment="1" applyProtection="1">
      <alignment horizontal="centerContinuous"/>
    </xf>
    <xf numFmtId="0" fontId="12" fillId="2" borderId="13" xfId="0" applyFont="1" applyFill="1" applyBorder="1" applyAlignment="1">
      <alignment vertical="top"/>
    </xf>
    <xf numFmtId="167" fontId="12" fillId="2" borderId="1" xfId="0" applyNumberFormat="1" applyFont="1" applyFill="1" applyBorder="1" applyAlignment="1"/>
    <xf numFmtId="167" fontId="12" fillId="2" borderId="2" xfId="0" applyNumberFormat="1" applyFont="1" applyFill="1" applyBorder="1" applyAlignment="1"/>
    <xf numFmtId="0" fontId="0" fillId="0" borderId="41" xfId="0" applyBorder="1"/>
    <xf numFmtId="0" fontId="0" fillId="0" borderId="48" xfId="0" applyBorder="1"/>
    <xf numFmtId="0" fontId="0" fillId="0" borderId="50" xfId="0" applyBorder="1" applyAlignment="1">
      <alignment horizontal="center"/>
    </xf>
    <xf numFmtId="0" fontId="0" fillId="0" borderId="51" xfId="0" applyBorder="1" applyAlignment="1">
      <alignment horizontal="center"/>
    </xf>
    <xf numFmtId="0" fontId="0" fillId="0" borderId="49" xfId="0" applyBorder="1" applyAlignment="1">
      <alignment horizontal="center"/>
    </xf>
    <xf numFmtId="167" fontId="0" fillId="0" borderId="1" xfId="0" applyNumberFormat="1" applyBorder="1"/>
    <xf numFmtId="0" fontId="38" fillId="2" borderId="1" xfId="0" applyFont="1" applyFill="1" applyBorder="1" applyProtection="1">
      <protection locked="0"/>
    </xf>
    <xf numFmtId="0" fontId="31" fillId="2" borderId="0" xfId="0" applyFont="1" applyFill="1" applyAlignment="1">
      <alignment vertical="top"/>
    </xf>
    <xf numFmtId="14" fontId="0" fillId="2" borderId="27" xfId="0" applyNumberFormat="1" applyFill="1" applyBorder="1" applyProtection="1">
      <protection locked="0"/>
    </xf>
    <xf numFmtId="0" fontId="33" fillId="2" borderId="0" xfId="0" applyFont="1" applyFill="1"/>
    <xf numFmtId="0" fontId="24" fillId="2" borderId="53" xfId="0" applyFont="1" applyFill="1" applyBorder="1" applyProtection="1">
      <protection locked="0"/>
    </xf>
    <xf numFmtId="0" fontId="39" fillId="2" borderId="0" xfId="0" applyFont="1" applyFill="1"/>
    <xf numFmtId="0" fontId="1" fillId="2" borderId="0" xfId="0" applyFont="1" applyFill="1" applyAlignment="1">
      <alignment horizontal="left"/>
    </xf>
    <xf numFmtId="0" fontId="0" fillId="2" borderId="0" xfId="0" applyFill="1" applyAlignment="1">
      <alignment horizontal="center"/>
    </xf>
    <xf numFmtId="0" fontId="0" fillId="2" borderId="32" xfId="0" applyFill="1" applyBorder="1" applyAlignment="1">
      <alignment horizontal="center"/>
    </xf>
    <xf numFmtId="0" fontId="0" fillId="2" borderId="31" xfId="0" applyFill="1" applyBorder="1"/>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38" fillId="2" borderId="0" xfId="0" applyFont="1" applyFill="1" applyProtection="1">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0" xfId="0" applyAlignment="1" applyProtection="1">
      <alignment horizontal="center"/>
      <protection locked="0"/>
    </xf>
    <xf numFmtId="0" fontId="0" fillId="2" borderId="15" xfId="0" applyFill="1" applyBorder="1"/>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8" xfId="0" applyBorder="1" applyAlignment="1" applyProtection="1">
      <alignment horizontal="center"/>
      <protection locked="0"/>
    </xf>
    <xf numFmtId="0" fontId="0" fillId="2" borderId="0" xfId="0" applyFill="1" applyAlignment="1">
      <alignment vertical="center"/>
    </xf>
    <xf numFmtId="0" fontId="9" fillId="2" borderId="54" xfId="0" applyFont="1" applyFill="1" applyBorder="1" applyAlignment="1">
      <alignment horizontal="right"/>
    </xf>
    <xf numFmtId="0" fontId="42" fillId="2" borderId="0" xfId="0" applyFont="1" applyFill="1" applyAlignment="1">
      <alignment horizontal="right"/>
    </xf>
    <xf numFmtId="168" fontId="42" fillId="2" borderId="1" xfId="0" applyNumberFormat="1" applyFont="1" applyFill="1" applyBorder="1" applyAlignment="1">
      <alignment horizontal="center"/>
    </xf>
    <xf numFmtId="0" fontId="9" fillId="2" borderId="55" xfId="0" applyFont="1" applyFill="1" applyBorder="1" applyAlignment="1">
      <alignment horizontal="right"/>
    </xf>
    <xf numFmtId="0" fontId="0" fillId="2" borderId="1" xfId="0" applyFill="1" applyBorder="1" applyAlignment="1">
      <alignment horizontal="right" vertical="center" wrapText="1"/>
    </xf>
    <xf numFmtId="0" fontId="0" fillId="2" borderId="1" xfId="0" applyFill="1" applyBorder="1" applyAlignment="1">
      <alignment horizontal="center"/>
    </xf>
    <xf numFmtId="0" fontId="29" fillId="2" borderId="52" xfId="0" applyFont="1" applyFill="1" applyBorder="1" applyAlignment="1">
      <alignment horizontal="left" vertical="center"/>
    </xf>
    <xf numFmtId="0" fontId="0" fillId="2" borderId="56" xfId="0" applyFill="1" applyBorder="1" applyAlignment="1">
      <alignment horizontal="center"/>
    </xf>
    <xf numFmtId="167" fontId="0" fillId="2" borderId="1" xfId="0" applyNumberFormat="1" applyFill="1" applyBorder="1"/>
    <xf numFmtId="0" fontId="0" fillId="0" borderId="0" xfId="0" applyAlignment="1">
      <alignment horizontal="center"/>
    </xf>
    <xf numFmtId="0" fontId="1" fillId="2" borderId="0" xfId="0" applyFont="1" applyFill="1" applyAlignment="1">
      <alignment horizontal="right"/>
    </xf>
    <xf numFmtId="0" fontId="1" fillId="0" borderId="0" xfId="0" applyFont="1" applyAlignment="1">
      <alignment horizontal="left"/>
    </xf>
    <xf numFmtId="0" fontId="0" fillId="0" borderId="0" xfId="0" applyAlignment="1">
      <alignment vertical="center"/>
    </xf>
    <xf numFmtId="0" fontId="0" fillId="0" borderId="1" xfId="0" applyBorder="1" applyAlignment="1">
      <alignment horizontal="right" vertical="center" wrapText="1"/>
    </xf>
    <xf numFmtId="0" fontId="29" fillId="0" borderId="31" xfId="0" applyFont="1" applyBorder="1" applyAlignment="1">
      <alignment horizontal="left" vertical="center" wrapText="1"/>
    </xf>
    <xf numFmtId="0" fontId="1" fillId="0" borderId="0" xfId="0" applyFont="1" applyAlignment="1">
      <alignment horizontal="right"/>
    </xf>
    <xf numFmtId="0" fontId="1" fillId="0" borderId="40" xfId="0" applyFont="1" applyBorder="1" applyAlignment="1">
      <alignment horizontal="left"/>
    </xf>
    <xf numFmtId="0" fontId="0" fillId="0" borderId="0" xfId="0" applyAlignment="1">
      <alignment horizontal="right"/>
    </xf>
    <xf numFmtId="9" fontId="0" fillId="0" borderId="0" xfId="0" applyNumberFormat="1" applyAlignment="1">
      <alignment horizontal="left"/>
    </xf>
    <xf numFmtId="0" fontId="0" fillId="2" borderId="0" xfId="0" applyFill="1" applyBorder="1"/>
    <xf numFmtId="0" fontId="0" fillId="2" borderId="0" xfId="0" applyFont="1" applyFill="1"/>
    <xf numFmtId="0" fontId="10" fillId="2" borderId="0" xfId="0" applyFont="1" applyFill="1" applyBorder="1"/>
    <xf numFmtId="0" fontId="10" fillId="2" borderId="0" xfId="0" applyFont="1" applyFill="1" applyBorder="1" applyAlignment="1">
      <alignment horizontal="right"/>
    </xf>
    <xf numFmtId="0" fontId="0" fillId="2" borderId="0" xfId="0" applyFill="1" applyBorder="1" applyAlignment="1">
      <alignment horizontal="left"/>
    </xf>
    <xf numFmtId="0" fontId="0" fillId="2" borderId="3" xfId="0" applyFill="1" applyBorder="1" applyAlignment="1"/>
    <xf numFmtId="0" fontId="0" fillId="0" borderId="1" xfId="0" applyBorder="1" applyAlignment="1">
      <alignment vertical="center"/>
    </xf>
    <xf numFmtId="0" fontId="44" fillId="0" borderId="1" xfId="0" applyFont="1" applyBorder="1" applyAlignment="1">
      <alignment vertical="center"/>
    </xf>
    <xf numFmtId="0" fontId="44" fillId="2" borderId="4" xfId="0" applyFont="1" applyFill="1" applyBorder="1" applyAlignment="1">
      <alignment horizontal="left"/>
    </xf>
    <xf numFmtId="0" fontId="45" fillId="0" borderId="0" xfId="0" applyFont="1" applyBorder="1" applyAlignment="1">
      <alignment vertical="center"/>
    </xf>
    <xf numFmtId="0" fontId="45" fillId="2" borderId="0" xfId="0" applyFont="1" applyFill="1" applyBorder="1" applyAlignment="1">
      <alignment horizontal="centerContinuous"/>
    </xf>
    <xf numFmtId="0" fontId="0" fillId="2" borderId="0" xfId="0" applyFill="1" applyBorder="1" applyAlignment="1">
      <alignment horizontal="centerContinuous"/>
    </xf>
    <xf numFmtId="0" fontId="5" fillId="2" borderId="0" xfId="0" applyFont="1" applyFill="1" applyBorder="1" applyAlignment="1">
      <alignment horizontal="center"/>
    </xf>
    <xf numFmtId="0" fontId="0" fillId="2" borderId="0" xfId="0" applyFill="1" applyBorder="1" applyAlignment="1">
      <alignment horizontal="right"/>
    </xf>
    <xf numFmtId="0" fontId="7" fillId="2" borderId="0" xfId="0" applyFont="1" applyFill="1" applyBorder="1" applyAlignment="1">
      <alignment horizontal="right"/>
    </xf>
    <xf numFmtId="0" fontId="28" fillId="3" borderId="0" xfId="1" applyFont="1" applyFill="1" applyAlignment="1" applyProtection="1">
      <alignment horizontal="left"/>
      <protection hidden="1"/>
    </xf>
    <xf numFmtId="0" fontId="18" fillId="3" borderId="0" xfId="1" applyFont="1" applyFill="1" applyAlignment="1" applyProtection="1">
      <alignment horizontal="left"/>
      <protection hidden="1"/>
    </xf>
    <xf numFmtId="0" fontId="19" fillId="2" borderId="0" xfId="1" applyFont="1" applyFill="1" applyAlignment="1" applyProtection="1">
      <alignment horizontal="left"/>
      <protection hidden="1"/>
    </xf>
    <xf numFmtId="0" fontId="14" fillId="0" borderId="0" xfId="1" applyAlignment="1" applyProtection="1">
      <alignment horizontal="left"/>
      <protection hidden="1"/>
    </xf>
    <xf numFmtId="0" fontId="0" fillId="2" borderId="5"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40" fillId="2" borderId="8" xfId="0" applyFont="1" applyFill="1" applyBorder="1" applyAlignment="1" applyProtection="1">
      <alignment horizontal="left"/>
      <protection locked="0"/>
    </xf>
    <xf numFmtId="167" fontId="12" fillId="2" borderId="47" xfId="0" applyNumberFormat="1" applyFont="1" applyFill="1" applyBorder="1" applyAlignment="1">
      <alignment horizontal="right"/>
    </xf>
    <xf numFmtId="167" fontId="12" fillId="2" borderId="30" xfId="0" applyNumberFormat="1" applyFont="1" applyFill="1" applyBorder="1" applyAlignment="1">
      <alignment horizontal="right"/>
    </xf>
    <xf numFmtId="167" fontId="12" fillId="2" borderId="4" xfId="0" applyNumberFormat="1" applyFont="1" applyFill="1" applyBorder="1" applyAlignment="1">
      <alignment horizontal="right"/>
    </xf>
    <xf numFmtId="167" fontId="12" fillId="2" borderId="6" xfId="0" applyNumberFormat="1" applyFont="1" applyFill="1" applyBorder="1" applyAlignment="1">
      <alignment horizontal="right"/>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2" fillId="2" borderId="15" xfId="0" applyFont="1" applyFill="1" applyBorder="1" applyAlignment="1">
      <alignment horizontal="right" vertical="center"/>
    </xf>
    <xf numFmtId="0" fontId="12" fillId="2" borderId="16" xfId="0" applyFont="1" applyFill="1" applyBorder="1" applyAlignment="1">
      <alignment horizontal="right" vertical="center"/>
    </xf>
    <xf numFmtId="0" fontId="0" fillId="2" borderId="9" xfId="0" applyFill="1" applyBorder="1" applyAlignment="1" applyProtection="1">
      <alignment horizontal="left"/>
    </xf>
  </cellXfs>
  <cellStyles count="3">
    <cellStyle name="Link" xfId="2" builtinId="8"/>
    <cellStyle name="Standard" xfId="0" builtinId="0"/>
    <cellStyle name="Standard 2" xfId="1"/>
  </cellStyles>
  <dxfs count="2">
    <dxf>
      <font>
        <color rgb="FFFF0000"/>
      </font>
      <fill>
        <patternFill patternType="none">
          <bgColor auto="1"/>
        </patternFill>
      </fill>
    </dxf>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369794</xdr:colOff>
      <xdr:row>1</xdr:row>
      <xdr:rowOff>22412</xdr:rowOff>
    </xdr:from>
    <xdr:to>
      <xdr:col>16</xdr:col>
      <xdr:colOff>235323</xdr:colOff>
      <xdr:row>13</xdr:row>
      <xdr:rowOff>179294</xdr:rowOff>
    </xdr:to>
    <xdr:cxnSp macro="">
      <xdr:nvCxnSpPr>
        <xdr:cNvPr id="2" name="Gerade Verbindung mit Pfeil 1">
          <a:extLst>
            <a:ext uri="{FF2B5EF4-FFF2-40B4-BE49-F238E27FC236}">
              <a16:creationId xmlns:a16="http://schemas.microsoft.com/office/drawing/2014/main" id="{B92B89BF-65E8-437D-B6A6-D074AA5DF964}"/>
            </a:ext>
          </a:extLst>
        </xdr:cNvPr>
        <xdr:cNvCxnSpPr/>
      </xdr:nvCxnSpPr>
      <xdr:spPr>
        <a:xfrm flipH="1" flipV="1">
          <a:off x="5970494" y="212912"/>
          <a:ext cx="7533154" cy="25190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4</xdr:row>
      <xdr:rowOff>9525</xdr:rowOff>
    </xdr:from>
    <xdr:to>
      <xdr:col>11</xdr:col>
      <xdr:colOff>1304924</xdr:colOff>
      <xdr:row>5</xdr:row>
      <xdr:rowOff>76199</xdr:rowOff>
    </xdr:to>
    <xdr:sp macro="" textlink="">
      <xdr:nvSpPr>
        <xdr:cNvPr id="2" name="Legende: mit gebogener Linie 1">
          <a:extLst>
            <a:ext uri="{FF2B5EF4-FFF2-40B4-BE49-F238E27FC236}">
              <a16:creationId xmlns:a16="http://schemas.microsoft.com/office/drawing/2014/main" id="{DCAA0ABD-C51F-4D5E-BD18-067102DEA081}"/>
            </a:ext>
          </a:extLst>
        </xdr:cNvPr>
        <xdr:cNvSpPr/>
      </xdr:nvSpPr>
      <xdr:spPr>
        <a:xfrm>
          <a:off x="9286875" y="895350"/>
          <a:ext cx="1114424" cy="257174"/>
        </a:xfrm>
        <a:prstGeom prst="borderCallout2">
          <a:avLst>
            <a:gd name="adj1" fmla="val 98750"/>
            <a:gd name="adj2" fmla="val 99684"/>
            <a:gd name="adj3" fmla="val 98750"/>
            <a:gd name="adj4" fmla="val 100210"/>
            <a:gd name="adj5" fmla="val 312674"/>
            <a:gd name="adj6" fmla="val 99924"/>
          </a:avLst>
        </a:prstGeom>
        <a:no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a:solidFill>
                <a:schemeClr val="tx1"/>
              </a:solidFill>
            </a:rPr>
            <a:t>Bemerkungsfeld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27</xdr:row>
      <xdr:rowOff>66675</xdr:rowOff>
    </xdr:from>
    <xdr:to>
      <xdr:col>13</xdr:col>
      <xdr:colOff>0</xdr:colOff>
      <xdr:row>27</xdr:row>
      <xdr:rowOff>2095500</xdr:rowOff>
    </xdr:to>
    <xdr:sp macro="" textlink="">
      <xdr:nvSpPr>
        <xdr:cNvPr id="2" name="Textfeld 1">
          <a:extLst>
            <a:ext uri="{FF2B5EF4-FFF2-40B4-BE49-F238E27FC236}">
              <a16:creationId xmlns:a16="http://schemas.microsoft.com/office/drawing/2014/main" id="{FCE290F9-A4EF-480F-9373-32FC514BFFD9}"/>
            </a:ext>
          </a:extLst>
        </xdr:cNvPr>
        <xdr:cNvSpPr txBox="1"/>
      </xdr:nvSpPr>
      <xdr:spPr>
        <a:xfrm>
          <a:off x="1" y="5400675"/>
          <a:ext cx="11420474" cy="2028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de-DE" sz="1100" b="1" u="sng">
              <a:solidFill>
                <a:srgbClr val="C00000"/>
              </a:solidFill>
            </a:rPr>
            <a:t>Erkenntnisse:</a:t>
          </a:r>
        </a:p>
        <a:p>
          <a:r>
            <a:rPr lang="de-DE" sz="1100">
              <a:solidFill>
                <a:srgbClr val="C00000"/>
              </a:solidFill>
            </a:rPr>
            <a:t>Nach klassicher Auswertung liegt die relative Unsicherheit der Probenahme bei etwa 24% und nach robuster Auswertung bei etwa 14%.</a:t>
          </a:r>
        </a:p>
        <a:p>
          <a:r>
            <a:rPr lang="de-DE" sz="1100">
              <a:solidFill>
                <a:srgbClr val="C00000"/>
              </a:solidFill>
            </a:rPr>
            <a:t>Das vorliegende "LA-Tool-Probenahme (nur eine Entnahmestelle)" berechnet die Unsicherheit der Probenahme mit 16% bei</a:t>
          </a:r>
          <a:r>
            <a:rPr lang="de-DE" sz="1100" baseline="0">
              <a:solidFill>
                <a:srgbClr val="C00000"/>
              </a:solidFill>
            </a:rPr>
            <a:t> einem Erwartungsbereich</a:t>
          </a:r>
          <a:r>
            <a:rPr lang="de-DE" sz="1100">
              <a:solidFill>
                <a:srgbClr val="C00000"/>
              </a:solidFill>
            </a:rPr>
            <a:t> zwischen 3 bis 30%.</a:t>
          </a:r>
        </a:p>
        <a:p>
          <a:r>
            <a:rPr lang="de-DE" sz="1100">
              <a:solidFill>
                <a:srgbClr val="C00000"/>
              </a:solidFill>
            </a:rPr>
            <a:t>Dieser Toleranzbereich sollte durchaus als erheblich angesehen werden und es ist zu vermuten, dass das Ergebnis der robusten Auswertung hinreichend realistisch sein könnte.</a:t>
          </a:r>
        </a:p>
        <a:p>
          <a:r>
            <a:rPr lang="de-DE" sz="1100">
              <a:solidFill>
                <a:srgbClr val="C00000"/>
              </a:solidFill>
            </a:rPr>
            <a:t>Durch die Aufteilung der PN-Stellen in acht Einzelauswertungen macht das Tool die erheblichen Präzisionsunterschiede der einzelnen Probenahmeaktionen deutlich und lässt auf einen Blick erkennen, dass die Ergebnisse von PN-Stelle 3 durchaus als ein Ausreißer im Datenfeld angesehen werden können. Ein Grubbs-Test</a:t>
          </a:r>
          <a:r>
            <a:rPr lang="de-DE" sz="1100" baseline="0">
              <a:solidFill>
                <a:srgbClr val="C00000"/>
              </a:solidFill>
            </a:rPr>
            <a:t> gegen den Median bestätigt diese Annahme.</a:t>
          </a:r>
        </a:p>
        <a:p>
          <a:pPr>
            <a:spcAft>
              <a:spcPts val="600"/>
            </a:spcAft>
          </a:pPr>
          <a:r>
            <a:rPr lang="de-DE" sz="1100">
              <a:solidFill>
                <a:srgbClr val="C00000"/>
              </a:solidFill>
            </a:rPr>
            <a:t>Nach Elimination des Ausreißers sinkt die Unsicherheit der Probenahme erheblich und es verbleibt</a:t>
          </a:r>
          <a:r>
            <a:rPr lang="de-DE" sz="1100" baseline="0">
              <a:solidFill>
                <a:srgbClr val="C00000"/>
              </a:solidFill>
            </a:rPr>
            <a:t> </a:t>
          </a:r>
          <a:r>
            <a:rPr lang="de-DE" sz="1100">
              <a:solidFill>
                <a:srgbClr val="C00000"/>
              </a:solidFill>
            </a:rPr>
            <a:t>zwischen den Ergebnissen der klassischen und der robusten Auswertung nur noch ein vernachlässigbarer Unterschied. Auswertung</a:t>
          </a:r>
          <a:r>
            <a:rPr lang="de-DE" sz="1100" baseline="0">
              <a:solidFill>
                <a:srgbClr val="C00000"/>
              </a:solidFill>
            </a:rPr>
            <a:t> r</a:t>
          </a:r>
          <a:r>
            <a:rPr lang="de-DE" sz="1100">
              <a:solidFill>
                <a:srgbClr val="C00000"/>
              </a:solidFill>
            </a:rPr>
            <a:t>obust: 12%; klassisch: 11%; LA-Tool: 11%.</a:t>
          </a:r>
        </a:p>
        <a:p>
          <a:r>
            <a:rPr lang="de-DE" sz="1100">
              <a:solidFill>
                <a:srgbClr val="C00000"/>
              </a:solidFill>
            </a:rPr>
            <a:t>Ich</a:t>
          </a:r>
          <a:r>
            <a:rPr lang="de-DE" sz="1100" baseline="0">
              <a:solidFill>
                <a:srgbClr val="C00000"/>
              </a:solidFill>
            </a:rPr>
            <a:t> sehe in der Anwendung </a:t>
          </a:r>
          <a:r>
            <a:rPr lang="de-DE" sz="1100">
              <a:solidFill>
                <a:srgbClr val="C00000"/>
              </a:solidFill>
            </a:rPr>
            <a:t>des Ansatzes</a:t>
          </a:r>
          <a:r>
            <a:rPr lang="de-DE" sz="1100" baseline="0">
              <a:solidFill>
                <a:srgbClr val="C00000"/>
              </a:solidFill>
            </a:rPr>
            <a:t> gemäß </a:t>
          </a:r>
          <a:r>
            <a:rPr lang="de-DE" sz="1100" baseline="0">
              <a:solidFill>
                <a:srgbClr val="C00000"/>
              </a:solidFill>
              <a:latin typeface="+mn-lt"/>
              <a:ea typeface="+mn-ea"/>
              <a:cs typeface="+mn-cs"/>
            </a:rPr>
            <a:t>vorliegendem "LA-Tool-Probenahme (nur eine Entnahmestelle)" den Vorteil, aus den vorliegenden Daten mehr Informationen herauslesen zu können. Im gezeigten Beispiel aus dem Eurachem Guide for validation konnte hierdurch sogar ein mit der robusten Auswertung annähernd vergleichbares Ergebnis erzielt werden. </a:t>
          </a:r>
        </a:p>
      </xdr:txBody>
    </xdr:sp>
    <xdr:clientData/>
  </xdr:twoCellAnchor>
  <xdr:twoCellAnchor>
    <xdr:from>
      <xdr:col>5</xdr:col>
      <xdr:colOff>28575</xdr:colOff>
      <xdr:row>5</xdr:row>
      <xdr:rowOff>95250</xdr:rowOff>
    </xdr:from>
    <xdr:to>
      <xdr:col>5</xdr:col>
      <xdr:colOff>247650</xdr:colOff>
      <xdr:row>5</xdr:row>
      <xdr:rowOff>95250</xdr:rowOff>
    </xdr:to>
    <xdr:cxnSp macro="">
      <xdr:nvCxnSpPr>
        <xdr:cNvPr id="3" name="Gerade Verbindung mit Pfeil 2">
          <a:extLst>
            <a:ext uri="{FF2B5EF4-FFF2-40B4-BE49-F238E27FC236}">
              <a16:creationId xmlns:a16="http://schemas.microsoft.com/office/drawing/2014/main" id="{EE473024-6835-4B3E-B62B-43F4EB9540B4}"/>
            </a:ext>
          </a:extLst>
        </xdr:cNvPr>
        <xdr:cNvCxnSpPr/>
      </xdr:nvCxnSpPr>
      <xdr:spPr>
        <a:xfrm flipH="1">
          <a:off x="4267200" y="1047750"/>
          <a:ext cx="219075" cy="0"/>
        </a:xfrm>
        <a:prstGeom prst="straightConnector1">
          <a:avLst/>
        </a:prstGeom>
        <a:ln>
          <a:solidFill>
            <a:srgbClr val="C00000"/>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0</xdr:colOff>
      <xdr:row>61</xdr:row>
      <xdr:rowOff>78442</xdr:rowOff>
    </xdr:from>
    <xdr:to>
      <xdr:col>13</xdr:col>
      <xdr:colOff>-1</xdr:colOff>
      <xdr:row>61</xdr:row>
      <xdr:rowOff>1333501</xdr:rowOff>
    </xdr:to>
    <xdr:sp macro="" textlink="">
      <xdr:nvSpPr>
        <xdr:cNvPr id="4" name="Textfeld 3">
          <a:extLst>
            <a:ext uri="{FF2B5EF4-FFF2-40B4-BE49-F238E27FC236}">
              <a16:creationId xmlns:a16="http://schemas.microsoft.com/office/drawing/2014/main" id="{B5C498DE-EB26-4E07-83D0-15767DCCF1A3}"/>
            </a:ext>
          </a:extLst>
        </xdr:cNvPr>
        <xdr:cNvSpPr txBox="1"/>
      </xdr:nvSpPr>
      <xdr:spPr>
        <a:xfrm>
          <a:off x="0" y="14032567"/>
          <a:ext cx="11420474" cy="12550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de-DE" sz="1100" b="1" u="sng">
              <a:solidFill>
                <a:srgbClr val="C00000"/>
              </a:solidFill>
            </a:rPr>
            <a:t>Erkenntnisse:</a:t>
          </a:r>
        </a:p>
        <a:p>
          <a:r>
            <a:rPr lang="de-DE" sz="1100">
              <a:solidFill>
                <a:srgbClr val="C00000"/>
              </a:solidFill>
            </a:rPr>
            <a:t>Die Ergebnisse aus klassicher</a:t>
          </a:r>
          <a:r>
            <a:rPr lang="de-DE" sz="1100" baseline="0">
              <a:solidFill>
                <a:srgbClr val="C00000"/>
              </a:solidFill>
            </a:rPr>
            <a:t> und robuster</a:t>
          </a:r>
          <a:r>
            <a:rPr lang="de-DE" sz="1100">
              <a:solidFill>
                <a:srgbClr val="C00000"/>
              </a:solidFill>
            </a:rPr>
            <a:t> Auswertung sind praktisch identisch</a:t>
          </a:r>
          <a:r>
            <a:rPr lang="de-DE" sz="1100" baseline="0">
              <a:solidFill>
                <a:srgbClr val="C00000"/>
              </a:solidFill>
            </a:rPr>
            <a:t>.</a:t>
          </a:r>
          <a:endParaRPr lang="de-DE" sz="1100">
            <a:solidFill>
              <a:srgbClr val="C00000"/>
            </a:solidFill>
          </a:endParaRPr>
        </a:p>
        <a:p>
          <a:r>
            <a:rPr lang="de-DE" sz="1100">
              <a:solidFill>
                <a:srgbClr val="C00000"/>
              </a:solidFill>
            </a:rPr>
            <a:t>Mithilfe</a:t>
          </a:r>
          <a:r>
            <a:rPr lang="de-DE" sz="1100" baseline="0">
              <a:solidFill>
                <a:srgbClr val="C00000"/>
              </a:solidFill>
            </a:rPr>
            <a:t> des vorliegenden Tools kann jedoch erkannt werden, dass die ausgewerteten Datensätze zu erheblich unterschiedlichen Einzelergebnissen führen. Aufgund dessen liegen die Ergebnisse aus klassischer und robuster Auswertung sicher im ermittelten Toleranzbereich des mit dem vorliegenden Toll ermittelten Ergebnisses.</a:t>
          </a:r>
        </a:p>
        <a:p>
          <a:r>
            <a:rPr lang="de-DE" sz="1100" baseline="0">
              <a:solidFill>
                <a:srgbClr val="C00000"/>
              </a:solidFill>
            </a:rPr>
            <a:t>Es kann also festgestellt werden, dass die Übereinstimmung von klassischer und robuster Auswertung eine höhere Präzision vermuten lassen, als es aufgrund des ausgewerteten Datenmaterials angemessen ist. </a:t>
          </a:r>
          <a:endParaRPr lang="de-DE" sz="1100" b="1" baseline="0">
            <a:solidFill>
              <a:srgbClr val="C00000"/>
            </a:solidFill>
            <a:latin typeface="+mn-lt"/>
            <a:ea typeface="+mn-ea"/>
            <a:cs typeface="+mn-cs"/>
          </a:endParaRPr>
        </a:p>
      </xdr:txBody>
    </xdr:sp>
    <xdr:clientData/>
  </xdr:twoCellAnchor>
  <xdr:twoCellAnchor>
    <xdr:from>
      <xdr:col>0</xdr:col>
      <xdr:colOff>0</xdr:colOff>
      <xdr:row>89</xdr:row>
      <xdr:rowOff>78443</xdr:rowOff>
    </xdr:from>
    <xdr:to>
      <xdr:col>13</xdr:col>
      <xdr:colOff>-1</xdr:colOff>
      <xdr:row>89</xdr:row>
      <xdr:rowOff>705971</xdr:rowOff>
    </xdr:to>
    <xdr:sp macro="" textlink="">
      <xdr:nvSpPr>
        <xdr:cNvPr id="5" name="Textfeld 4">
          <a:extLst>
            <a:ext uri="{FF2B5EF4-FFF2-40B4-BE49-F238E27FC236}">
              <a16:creationId xmlns:a16="http://schemas.microsoft.com/office/drawing/2014/main" id="{806B1D67-5A8D-4DC6-B123-A5933A3015A3}"/>
            </a:ext>
          </a:extLst>
        </xdr:cNvPr>
        <xdr:cNvSpPr txBox="1"/>
      </xdr:nvSpPr>
      <xdr:spPr>
        <a:xfrm>
          <a:off x="0" y="20757218"/>
          <a:ext cx="11420474" cy="6275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de-DE" sz="1100" b="1" u="sng">
              <a:solidFill>
                <a:srgbClr val="C00000"/>
              </a:solidFill>
            </a:rPr>
            <a:t>Erkenntnisse:</a:t>
          </a:r>
        </a:p>
        <a:p>
          <a:r>
            <a:rPr lang="de-DE" sz="1100" baseline="0">
              <a:solidFill>
                <a:srgbClr val="C00000"/>
              </a:solidFill>
            </a:rPr>
            <a:t>Es kann festgestellt werden, dass das mithilfe des vorliegenden Toolsermittelte Ergebnis gut mit der klassischen und robusten Auswertung übereinstimmt. </a:t>
          </a:r>
          <a:endParaRPr lang="de-DE" sz="1100" b="1" baseline="0">
            <a:solidFill>
              <a:srgbClr val="C00000"/>
            </a:solidFill>
            <a:latin typeface="+mn-lt"/>
            <a:ea typeface="+mn-ea"/>
            <a:cs typeface="+mn-cs"/>
          </a:endParaRPr>
        </a:p>
      </xdr:txBody>
    </xdr:sp>
    <xdr:clientData/>
  </xdr:twoCellAnchor>
  <xdr:twoCellAnchor>
    <xdr:from>
      <xdr:col>0</xdr:col>
      <xdr:colOff>0</xdr:colOff>
      <xdr:row>123</xdr:row>
      <xdr:rowOff>100853</xdr:rowOff>
    </xdr:from>
    <xdr:to>
      <xdr:col>13</xdr:col>
      <xdr:colOff>-1</xdr:colOff>
      <xdr:row>123</xdr:row>
      <xdr:rowOff>1333500</xdr:rowOff>
    </xdr:to>
    <xdr:sp macro="" textlink="">
      <xdr:nvSpPr>
        <xdr:cNvPr id="6" name="Textfeld 5">
          <a:extLst>
            <a:ext uri="{FF2B5EF4-FFF2-40B4-BE49-F238E27FC236}">
              <a16:creationId xmlns:a16="http://schemas.microsoft.com/office/drawing/2014/main" id="{C789C3D7-2B44-4DB4-96A3-D8CA665F830E}"/>
            </a:ext>
          </a:extLst>
        </xdr:cNvPr>
        <xdr:cNvSpPr txBox="1"/>
      </xdr:nvSpPr>
      <xdr:spPr>
        <a:xfrm>
          <a:off x="0" y="28028153"/>
          <a:ext cx="11420474" cy="1232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de-DE" sz="1100" b="1" u="sng">
              <a:solidFill>
                <a:srgbClr val="C00000"/>
              </a:solidFill>
            </a:rPr>
            <a:t>Erkenntnisse:</a:t>
          </a:r>
        </a:p>
        <a:p>
          <a:r>
            <a:rPr lang="de-DE" sz="1100" baseline="0">
              <a:solidFill>
                <a:srgbClr val="C00000"/>
              </a:solidFill>
            </a:rPr>
            <a:t>Die unterschiedlichen Ergebnisse der klassischen und der robusten Auswertung sind auffällig, zumal das Ergebnis der klassischen Auswertung von 0,0% als unplausibel angesehen werden kann.</a:t>
          </a:r>
        </a:p>
        <a:p>
          <a:r>
            <a:rPr lang="de-DE" sz="1100" baseline="0">
              <a:solidFill>
                <a:srgbClr val="C00000"/>
              </a:solidFill>
            </a:rPr>
            <a:t>Die Auswertung des Datenmaterials, mit dem vorliegenden Tool, zeigt mit 34% ein deutlich höheres Ergebnis, als die robuste Auswertung. Jedoch ist hier auch eine deutliche Streuung der Einzelergebnisse zu erkennen. </a:t>
          </a:r>
        </a:p>
        <a:p>
          <a:r>
            <a:rPr lang="de-DE" sz="1100" baseline="0">
              <a:solidFill>
                <a:srgbClr val="C00000"/>
              </a:solidFill>
            </a:rPr>
            <a:t>Aufgrund dessen kann festgestellt werden, dass das mithilfe des vorliegenden Tools ermittelte Ergebnis aufgrund seines Toleranzbereiches noch annähernd mit der robusten Auswertung übereinstimmt. </a:t>
          </a:r>
          <a:endParaRPr lang="de-DE" sz="1100" b="1" baseline="0">
            <a:solidFill>
              <a:srgbClr val="C00000"/>
            </a:solidFill>
            <a:latin typeface="+mn-lt"/>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ars-alpers@gmx.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9"/>
  <sheetViews>
    <sheetView zoomScale="85" zoomScaleNormal="85" workbookViewId="0">
      <selection activeCell="B2" sqref="B2"/>
    </sheetView>
  </sheetViews>
  <sheetFormatPr baseColWidth="10" defaultColWidth="12.7109375" defaultRowHeight="15" x14ac:dyDescent="0.25"/>
  <cols>
    <col min="1" max="6" width="12.7109375" style="2"/>
    <col min="7" max="7" width="7.7109375" style="2" customWidth="1"/>
    <col min="8" max="8" width="5.7109375" style="2" customWidth="1"/>
    <col min="9" max="13" width="13.7109375" style="2" customWidth="1"/>
    <col min="14" max="14" width="13.28515625" style="2" bestFit="1" customWidth="1"/>
    <col min="15" max="16" width="13.7109375" style="2" customWidth="1"/>
    <col min="17" max="16384" width="12.7109375" style="2"/>
  </cols>
  <sheetData>
    <row r="1" spans="1:17" x14ac:dyDescent="0.25">
      <c r="A1" s="4"/>
      <c r="B1" s="198" t="s">
        <v>108</v>
      </c>
      <c r="C1" s="199" t="s">
        <v>107</v>
      </c>
      <c r="D1" s="198" t="s">
        <v>106</v>
      </c>
      <c r="E1" s="199" t="s">
        <v>105</v>
      </c>
      <c r="F1" s="5" t="s">
        <v>174</v>
      </c>
    </row>
    <row r="2" spans="1:17" x14ac:dyDescent="0.25">
      <c r="A2" s="200" t="s">
        <v>109</v>
      </c>
      <c r="B2" s="201"/>
      <c r="C2" s="202"/>
      <c r="D2" s="203"/>
      <c r="E2" s="202"/>
      <c r="F2" s="191"/>
      <c r="G2" s="204"/>
    </row>
    <row r="3" spans="1:17" x14ac:dyDescent="0.25">
      <c r="A3" s="200" t="s">
        <v>110</v>
      </c>
      <c r="B3" s="205"/>
      <c r="C3" s="206"/>
      <c r="D3" s="207"/>
      <c r="E3" s="206"/>
      <c r="F3" s="191"/>
      <c r="G3" s="204"/>
    </row>
    <row r="4" spans="1:17" x14ac:dyDescent="0.25">
      <c r="A4" s="200" t="s">
        <v>111</v>
      </c>
      <c r="B4" s="205"/>
      <c r="C4" s="206"/>
      <c r="D4" s="207"/>
      <c r="E4" s="206"/>
      <c r="F4" s="191"/>
      <c r="G4" s="204"/>
    </row>
    <row r="5" spans="1:17" x14ac:dyDescent="0.25">
      <c r="A5" s="200" t="s">
        <v>112</v>
      </c>
      <c r="B5" s="205"/>
      <c r="C5" s="206"/>
      <c r="D5" s="207"/>
      <c r="E5" s="206"/>
      <c r="F5" s="191"/>
      <c r="G5" s="204"/>
    </row>
    <row r="6" spans="1:17" x14ac:dyDescent="0.25">
      <c r="A6" s="200" t="s">
        <v>113</v>
      </c>
      <c r="B6" s="205"/>
      <c r="C6" s="206"/>
      <c r="D6" s="207"/>
      <c r="E6" s="206"/>
      <c r="F6" s="191"/>
      <c r="G6" s="204"/>
    </row>
    <row r="7" spans="1:17" x14ac:dyDescent="0.25">
      <c r="A7" s="200" t="s">
        <v>114</v>
      </c>
      <c r="B7" s="205"/>
      <c r="C7" s="206"/>
      <c r="D7" s="207"/>
      <c r="E7" s="206"/>
      <c r="F7" s="191"/>
      <c r="G7" s="204"/>
    </row>
    <row r="8" spans="1:17" x14ac:dyDescent="0.25">
      <c r="A8" s="200" t="s">
        <v>115</v>
      </c>
      <c r="B8" s="205"/>
      <c r="C8" s="206"/>
      <c r="D8" s="207"/>
      <c r="E8" s="206"/>
      <c r="F8" s="191"/>
      <c r="G8" s="204"/>
    </row>
    <row r="9" spans="1:17" x14ac:dyDescent="0.25">
      <c r="A9" s="200" t="s">
        <v>116</v>
      </c>
      <c r="B9" s="205"/>
      <c r="C9" s="206"/>
      <c r="D9" s="207"/>
      <c r="E9" s="206"/>
      <c r="F9" s="191"/>
      <c r="G9" s="204"/>
    </row>
    <row r="10" spans="1:17" x14ac:dyDescent="0.25">
      <c r="A10" s="200" t="s">
        <v>152</v>
      </c>
      <c r="B10" s="205"/>
      <c r="C10" s="206"/>
      <c r="D10" s="207"/>
      <c r="E10" s="206"/>
      <c r="F10" s="191"/>
      <c r="G10" s="204"/>
    </row>
    <row r="11" spans="1:17" x14ac:dyDescent="0.25">
      <c r="A11" s="208" t="s">
        <v>153</v>
      </c>
      <c r="B11" s="209"/>
      <c r="C11" s="210"/>
      <c r="D11" s="211"/>
      <c r="E11" s="210"/>
      <c r="F11" s="191"/>
      <c r="G11" s="204"/>
    </row>
    <row r="12" spans="1:17" x14ac:dyDescent="0.25">
      <c r="B12" s="198"/>
      <c r="C12" s="198"/>
      <c r="D12" s="198"/>
      <c r="E12" s="198"/>
    </row>
    <row r="13" spans="1:17" ht="21" customHeight="1" thickBot="1" x14ac:dyDescent="0.3">
      <c r="A13" s="212" t="s">
        <v>140</v>
      </c>
    </row>
    <row r="14" spans="1:17" x14ac:dyDescent="0.25">
      <c r="A14" s="109" t="s">
        <v>109</v>
      </c>
      <c r="B14" s="110" t="s">
        <v>119</v>
      </c>
      <c r="C14" s="111" t="s">
        <v>120</v>
      </c>
      <c r="D14" s="109" t="s">
        <v>114</v>
      </c>
      <c r="E14" s="110" t="s">
        <v>119</v>
      </c>
      <c r="F14" s="111" t="s">
        <v>120</v>
      </c>
      <c r="H14" s="213" t="s">
        <v>177</v>
      </c>
      <c r="I14" s="197" t="s">
        <v>129</v>
      </c>
      <c r="M14" s="214" t="s">
        <v>178</v>
      </c>
      <c r="N14" s="215"/>
    </row>
    <row r="15" spans="1:17" ht="15.75" customHeight="1" x14ac:dyDescent="0.25">
      <c r="A15" s="107" t="s">
        <v>117</v>
      </c>
      <c r="B15" s="112">
        <f>B2</f>
        <v>0</v>
      </c>
      <c r="C15" s="113">
        <f>D2</f>
        <v>0</v>
      </c>
      <c r="D15" s="107" t="s">
        <v>117</v>
      </c>
      <c r="E15" s="112">
        <f>B7</f>
        <v>0</v>
      </c>
      <c r="F15" s="113">
        <f>D7</f>
        <v>0</v>
      </c>
      <c r="H15" s="216" t="s">
        <v>179</v>
      </c>
      <c r="I15" s="5"/>
      <c r="J15" s="5" t="s">
        <v>130</v>
      </c>
      <c r="K15" s="5" t="s">
        <v>131</v>
      </c>
      <c r="L15" s="217" t="s">
        <v>169</v>
      </c>
      <c r="M15" s="217" t="s">
        <v>97</v>
      </c>
      <c r="N15" s="218" t="s">
        <v>171</v>
      </c>
      <c r="O15" s="217" t="s">
        <v>170</v>
      </c>
      <c r="P15" s="217" t="s">
        <v>136</v>
      </c>
      <c r="Q15" s="219" t="s">
        <v>173</v>
      </c>
    </row>
    <row r="16" spans="1:17" ht="15.75" thickBot="1" x14ac:dyDescent="0.3">
      <c r="A16" s="108" t="s">
        <v>118</v>
      </c>
      <c r="B16" s="114">
        <f>C2</f>
        <v>0</v>
      </c>
      <c r="C16" s="115">
        <f>E2</f>
        <v>0</v>
      </c>
      <c r="D16" s="108" t="s">
        <v>118</v>
      </c>
      <c r="E16" s="114">
        <f>C7</f>
        <v>0</v>
      </c>
      <c r="F16" s="115">
        <f>E7</f>
        <v>0</v>
      </c>
      <c r="H16" s="220"/>
      <c r="I16" s="5" t="s">
        <v>109</v>
      </c>
      <c r="J16" s="5" t="str">
        <f>IF(COUNT(B2:C2)&lt;1,"",IF(ISTEXT(F2),"",AVERAGE(B2:C2)))</f>
        <v/>
      </c>
      <c r="K16" s="5" t="str">
        <f>IF(COUNT(D2:E2)&lt;1,"",IF(ISTEXT(F2),"",AVERAGE(D2:E2)))</f>
        <v/>
      </c>
      <c r="L16" s="5" t="str">
        <f t="shared" ref="L16:L22" si="0">IF(COUNT(J16:K16)&lt;2,"",AVERAGE(STDEV(B2:C2),STDEV(D2:E2)))</f>
        <v/>
      </c>
      <c r="M16" s="5" t="str">
        <f t="shared" ref="M16:M22" si="1">IF(COUNT(J16:K16)&lt;2,"",STDEV(J16:K16))</f>
        <v/>
      </c>
      <c r="N16" s="218" t="str">
        <f>IF(COUNT(J16:K16)&lt;2,"",IF(M16&gt;N$14/100*L16,"ja","nein"))</f>
        <v/>
      </c>
      <c r="O16" s="5" t="str">
        <f>IF(ISTEXT(H16),2*M16,IF(COUNT(J16:K16)&lt;2,"",IF(M16&gt;N$14/100*L16,2*M16,"n. s.")))</f>
        <v/>
      </c>
      <c r="P16" s="221" t="str">
        <f>IF(ISTEXT(H16),O16/AVERAGE(J16:K16)*100,IF(ISTEXT(O16),O16,O16/AVERAGE(J16:K16)*100))</f>
        <v/>
      </c>
      <c r="Q16" s="194" t="str">
        <f>IF(ISTEXT(P16),"",IF(COUNT(P$16:P$25)&lt;3,"?",IF(AND(((P16-MEDIAN(P$16:P$25))/STDEV(P$16:P$25))&lt;((COUNT(P$16:P$25)-1)/SQRT(COUNT(P$16:P$25))*SQRT(TINV(((100-95)/100)/(COUNT(P$16:P$25)/2),COUNT(P$16:P$25)-2)^2/(COUNT(P$16:P$25)-2+TINV(((100-95)/100)/(COUNT(P$16:P$25)/2),COUNT(P$16:P$25)-2)^2))),(-((P16-MEDIAN(P$16:P$25))/STDEV(P$16:P$25))&lt;((COUNT(P$16:P$25)-1)/SQRT(COUNT(P$16:P$25))*SQRT(TINV(((100-95)/100)/(COUNT(P$16:P$25)/2),COUNT(P$16:P$25)-2)^2/(COUNT(P$16:P$25)-2+TINV(((100-95)/100)/(COUNT(P$16:P$25)/2),COUNT(P$16:P$25)-2)^2))))),"","  x")))</f>
        <v/>
      </c>
    </row>
    <row r="17" spans="1:17" x14ac:dyDescent="0.25">
      <c r="A17" s="109" t="s">
        <v>110</v>
      </c>
      <c r="B17" s="110" t="s">
        <v>119</v>
      </c>
      <c r="C17" s="111" t="s">
        <v>120</v>
      </c>
      <c r="D17" s="109" t="s">
        <v>115</v>
      </c>
      <c r="E17" s="110" t="s">
        <v>119</v>
      </c>
      <c r="F17" s="111" t="s">
        <v>120</v>
      </c>
      <c r="H17" s="220"/>
      <c r="I17" s="5" t="s">
        <v>110</v>
      </c>
      <c r="J17" s="5" t="str">
        <f t="shared" ref="J17:J25" si="2">IF(COUNT(B3:C3)&lt;1,"",IF(ISTEXT(F3),"",AVERAGE(B3:C3)))</f>
        <v/>
      </c>
      <c r="K17" s="5" t="str">
        <f t="shared" ref="K17:K25" si="3">IF(COUNT(D3:E3)&lt;1,"",IF(ISTEXT(F3),"",AVERAGE(D3:E3)))</f>
        <v/>
      </c>
      <c r="L17" s="5" t="str">
        <f t="shared" si="0"/>
        <v/>
      </c>
      <c r="M17" s="5" t="str">
        <f t="shared" si="1"/>
        <v/>
      </c>
      <c r="N17" s="218" t="str">
        <f t="shared" ref="N17:N25" si="4">IF(COUNT(J17:K17)&lt;2,"",IF(M17&gt;N$14/100*L17,"ja","nein"))</f>
        <v/>
      </c>
      <c r="O17" s="5" t="str">
        <f t="shared" ref="O17:O25" si="5">IF(ISTEXT(H17),2*M17,IF(COUNT(J17:K17)&lt;2,"",IF(M17&gt;N$14/100*L17,2*M17,"n. s.")))</f>
        <v/>
      </c>
      <c r="P17" s="221" t="str">
        <f>IF(ISTEXT(H17),O17/AVERAGE(J17:K17)*100,IF(ISTEXT(O17),O17,O17/AVERAGE(J17:K17)*100))</f>
        <v/>
      </c>
      <c r="Q17" s="194" t="str">
        <f t="shared" ref="Q17:Q25" si="6">IF(ISTEXT(P17),"",IF(COUNT(P$16:P$25)&lt;3,"?",IF(AND(((P17-MEDIAN(P$16:P$25))/STDEV(P$16:P$25))&lt;((COUNT(P$16:P$25)-1)/SQRT(COUNT(P$16:P$25))*SQRT(TINV(((100-95)/100)/(COUNT(P$16:P$25)/2),COUNT(P$16:P$25)-2)^2/(COUNT(P$16:P$25)-2+TINV(((100-95)/100)/(COUNT(P$16:P$25)/2),COUNT(P$16:P$25)-2)^2))),(-((P17-MEDIAN(P$16:P$25))/STDEV(P$16:P$25))&lt;((COUNT(P$16:P$25)-1)/SQRT(COUNT(P$16:P$25))*SQRT(TINV(((100-95)/100)/(COUNT(P$16:P$25)/2),COUNT(P$16:P$25)-2)^2/(COUNT(P$16:P$25)-2+TINV(((100-95)/100)/(COUNT(P$16:P$25)/2),COUNT(P$16:P$25)-2)^2))))),"","  x")))</f>
        <v/>
      </c>
    </row>
    <row r="18" spans="1:17" x14ac:dyDescent="0.25">
      <c r="A18" s="107" t="s">
        <v>117</v>
      </c>
      <c r="B18" s="112">
        <f>B3</f>
        <v>0</v>
      </c>
      <c r="C18" s="113">
        <f>D3</f>
        <v>0</v>
      </c>
      <c r="D18" s="107" t="s">
        <v>117</v>
      </c>
      <c r="E18" s="112">
        <f>B8</f>
        <v>0</v>
      </c>
      <c r="F18" s="113">
        <f>D8</f>
        <v>0</v>
      </c>
      <c r="H18" s="220"/>
      <c r="I18" s="5" t="s">
        <v>111</v>
      </c>
      <c r="J18" s="5" t="str">
        <f t="shared" si="2"/>
        <v/>
      </c>
      <c r="K18" s="5" t="str">
        <f t="shared" si="3"/>
        <v/>
      </c>
      <c r="L18" s="5" t="str">
        <f t="shared" si="0"/>
        <v/>
      </c>
      <c r="M18" s="5" t="str">
        <f t="shared" si="1"/>
        <v/>
      </c>
      <c r="N18" s="218" t="str">
        <f t="shared" si="4"/>
        <v/>
      </c>
      <c r="O18" s="5" t="str">
        <f t="shared" si="5"/>
        <v/>
      </c>
      <c r="P18" s="221" t="str">
        <f t="shared" ref="P18:P25" si="7">IF(ISTEXT(H18),O18/AVERAGE(J18:K18)*100,IF(ISTEXT(O18),O18,O18/AVERAGE(J18:K18)*100))</f>
        <v/>
      </c>
      <c r="Q18" s="194" t="str">
        <f t="shared" si="6"/>
        <v/>
      </c>
    </row>
    <row r="19" spans="1:17" ht="15.75" thickBot="1" x14ac:dyDescent="0.3">
      <c r="A19" s="108" t="s">
        <v>118</v>
      </c>
      <c r="B19" s="114">
        <f>C3</f>
        <v>0</v>
      </c>
      <c r="C19" s="115">
        <f>E3</f>
        <v>0</v>
      </c>
      <c r="D19" s="108" t="s">
        <v>118</v>
      </c>
      <c r="E19" s="114">
        <f>C8</f>
        <v>0</v>
      </c>
      <c r="F19" s="115">
        <f>E8</f>
        <v>0</v>
      </c>
      <c r="H19" s="220"/>
      <c r="I19" s="5" t="s">
        <v>112</v>
      </c>
      <c r="J19" s="5" t="str">
        <f t="shared" si="2"/>
        <v/>
      </c>
      <c r="K19" s="5" t="str">
        <f t="shared" si="3"/>
        <v/>
      </c>
      <c r="L19" s="5" t="str">
        <f t="shared" si="0"/>
        <v/>
      </c>
      <c r="M19" s="5" t="str">
        <f t="shared" si="1"/>
        <v/>
      </c>
      <c r="N19" s="218" t="str">
        <f t="shared" si="4"/>
        <v/>
      </c>
      <c r="O19" s="5" t="str">
        <f t="shared" si="5"/>
        <v/>
      </c>
      <c r="P19" s="221" t="str">
        <f t="shared" si="7"/>
        <v/>
      </c>
      <c r="Q19" s="194" t="str">
        <f t="shared" si="6"/>
        <v/>
      </c>
    </row>
    <row r="20" spans="1:17" x14ac:dyDescent="0.25">
      <c r="A20" s="109" t="s">
        <v>111</v>
      </c>
      <c r="B20" s="110" t="s">
        <v>119</v>
      </c>
      <c r="C20" s="111" t="s">
        <v>120</v>
      </c>
      <c r="D20" s="109" t="s">
        <v>116</v>
      </c>
      <c r="E20" s="110" t="s">
        <v>119</v>
      </c>
      <c r="F20" s="111" t="s">
        <v>120</v>
      </c>
      <c r="H20" s="220"/>
      <c r="I20" s="5" t="s">
        <v>113</v>
      </c>
      <c r="J20" s="5" t="str">
        <f t="shared" si="2"/>
        <v/>
      </c>
      <c r="K20" s="5" t="str">
        <f t="shared" si="3"/>
        <v/>
      </c>
      <c r="L20" s="5" t="str">
        <f t="shared" si="0"/>
        <v/>
      </c>
      <c r="M20" s="5" t="str">
        <f t="shared" si="1"/>
        <v/>
      </c>
      <c r="N20" s="218" t="str">
        <f t="shared" si="4"/>
        <v/>
      </c>
      <c r="O20" s="5" t="str">
        <f t="shared" si="5"/>
        <v/>
      </c>
      <c r="P20" s="221" t="str">
        <f t="shared" si="7"/>
        <v/>
      </c>
      <c r="Q20" s="194" t="str">
        <f t="shared" si="6"/>
        <v/>
      </c>
    </row>
    <row r="21" spans="1:17" x14ac:dyDescent="0.25">
      <c r="A21" s="107" t="s">
        <v>117</v>
      </c>
      <c r="B21" s="112">
        <f>B4</f>
        <v>0</v>
      </c>
      <c r="C21" s="113">
        <f>D4</f>
        <v>0</v>
      </c>
      <c r="D21" s="107" t="s">
        <v>117</v>
      </c>
      <c r="E21" s="112">
        <f>B9</f>
        <v>0</v>
      </c>
      <c r="F21" s="113">
        <f>D9</f>
        <v>0</v>
      </c>
      <c r="H21" s="220"/>
      <c r="I21" s="5" t="s">
        <v>114</v>
      </c>
      <c r="J21" s="5" t="str">
        <f t="shared" si="2"/>
        <v/>
      </c>
      <c r="K21" s="5" t="str">
        <f t="shared" si="3"/>
        <v/>
      </c>
      <c r="L21" s="5" t="str">
        <f t="shared" si="0"/>
        <v/>
      </c>
      <c r="M21" s="5" t="str">
        <f t="shared" si="1"/>
        <v/>
      </c>
      <c r="N21" s="218" t="str">
        <f t="shared" si="4"/>
        <v/>
      </c>
      <c r="O21" s="5" t="str">
        <f t="shared" si="5"/>
        <v/>
      </c>
      <c r="P21" s="221" t="str">
        <f t="shared" si="7"/>
        <v/>
      </c>
      <c r="Q21" s="194" t="str">
        <f t="shared" si="6"/>
        <v/>
      </c>
    </row>
    <row r="22" spans="1:17" ht="15.75" thickBot="1" x14ac:dyDescent="0.3">
      <c r="A22" s="108" t="s">
        <v>118</v>
      </c>
      <c r="B22" s="114">
        <f>C4</f>
        <v>0</v>
      </c>
      <c r="C22" s="115">
        <f>E4</f>
        <v>0</v>
      </c>
      <c r="D22" s="108" t="s">
        <v>118</v>
      </c>
      <c r="E22" s="114">
        <f>C9</f>
        <v>0</v>
      </c>
      <c r="F22" s="115">
        <f>E9</f>
        <v>0</v>
      </c>
      <c r="H22" s="220"/>
      <c r="I22" s="5" t="s">
        <v>115</v>
      </c>
      <c r="J22" s="5" t="str">
        <f t="shared" si="2"/>
        <v/>
      </c>
      <c r="K22" s="5" t="str">
        <f t="shared" si="3"/>
        <v/>
      </c>
      <c r="L22" s="5" t="str">
        <f t="shared" si="0"/>
        <v/>
      </c>
      <c r="M22" s="5" t="str">
        <f t="shared" si="1"/>
        <v/>
      </c>
      <c r="N22" s="218" t="str">
        <f t="shared" si="4"/>
        <v/>
      </c>
      <c r="O22" s="5" t="str">
        <f t="shared" si="5"/>
        <v/>
      </c>
      <c r="P22" s="221" t="str">
        <f t="shared" si="7"/>
        <v/>
      </c>
      <c r="Q22" s="194" t="str">
        <f t="shared" si="6"/>
        <v/>
      </c>
    </row>
    <row r="23" spans="1:17" x14ac:dyDescent="0.25">
      <c r="A23" s="109" t="s">
        <v>112</v>
      </c>
      <c r="B23" s="110" t="s">
        <v>119</v>
      </c>
      <c r="C23" s="111" t="s">
        <v>120</v>
      </c>
      <c r="D23" s="109" t="s">
        <v>152</v>
      </c>
      <c r="E23" s="187" t="s">
        <v>119</v>
      </c>
      <c r="F23" s="188" t="s">
        <v>120</v>
      </c>
      <c r="H23" s="220"/>
      <c r="I23" s="5" t="s">
        <v>116</v>
      </c>
      <c r="J23" s="5" t="str">
        <f t="shared" si="2"/>
        <v/>
      </c>
      <c r="K23" s="5" t="str">
        <f t="shared" si="3"/>
        <v/>
      </c>
      <c r="L23" s="5" t="str">
        <f>IF(COUNT(J23:K23)&lt;2,"",AVERAGE(STDEV(B9:C9),STDEV(D9:E9)))</f>
        <v/>
      </c>
      <c r="M23" s="5" t="str">
        <f>IF(COUNT(J23:K23)&lt;2,"",STDEV(J23:K23))</f>
        <v/>
      </c>
      <c r="N23" s="218" t="str">
        <f t="shared" si="4"/>
        <v/>
      </c>
      <c r="O23" s="5" t="str">
        <f t="shared" si="5"/>
        <v/>
      </c>
      <c r="P23" s="221" t="str">
        <f t="shared" si="7"/>
        <v/>
      </c>
      <c r="Q23" s="194" t="str">
        <f t="shared" si="6"/>
        <v/>
      </c>
    </row>
    <row r="24" spans="1:17" x14ac:dyDescent="0.25">
      <c r="A24" s="107" t="s">
        <v>117</v>
      </c>
      <c r="B24" s="112">
        <f>B5</f>
        <v>0</v>
      </c>
      <c r="C24" s="113">
        <f>D5</f>
        <v>0</v>
      </c>
      <c r="D24" s="186" t="s">
        <v>117</v>
      </c>
      <c r="E24" s="222">
        <f>B10</f>
        <v>0</v>
      </c>
      <c r="F24" s="189">
        <f>D10</f>
        <v>0</v>
      </c>
      <c r="H24" s="220"/>
      <c r="I24" s="5" t="s">
        <v>152</v>
      </c>
      <c r="J24" s="5" t="str">
        <f t="shared" si="2"/>
        <v/>
      </c>
      <c r="K24" s="5" t="str">
        <f t="shared" si="3"/>
        <v/>
      </c>
      <c r="L24" s="5" t="str">
        <f>IF(COUNT(J24:K24)&lt;2,"",AVERAGE(STDEV(B10:C10),STDEV(D10:E10)))</f>
        <v/>
      </c>
      <c r="M24" s="5" t="str">
        <f>IF(COUNT(J24:K24)&lt;2,"",STDEV(J24:K24))</f>
        <v/>
      </c>
      <c r="N24" s="218" t="str">
        <f t="shared" si="4"/>
        <v/>
      </c>
      <c r="O24" s="5" t="str">
        <f t="shared" si="5"/>
        <v/>
      </c>
      <c r="P24" s="221" t="str">
        <f t="shared" si="7"/>
        <v/>
      </c>
      <c r="Q24" s="194" t="str">
        <f t="shared" si="6"/>
        <v/>
      </c>
    </row>
    <row r="25" spans="1:17" ht="15.75" thickBot="1" x14ac:dyDescent="0.3">
      <c r="A25" s="108" t="s">
        <v>118</v>
      </c>
      <c r="B25" s="114">
        <f>C5</f>
        <v>0</v>
      </c>
      <c r="C25" s="115">
        <f>E5</f>
        <v>0</v>
      </c>
      <c r="D25" s="108" t="s">
        <v>118</v>
      </c>
      <c r="E25" s="114">
        <f>C10</f>
        <v>0</v>
      </c>
      <c r="F25" s="115">
        <f>E10</f>
        <v>0</v>
      </c>
      <c r="H25" s="220"/>
      <c r="I25" s="5" t="s">
        <v>153</v>
      </c>
      <c r="J25" s="5" t="str">
        <f t="shared" si="2"/>
        <v/>
      </c>
      <c r="K25" s="5" t="str">
        <f t="shared" si="3"/>
        <v/>
      </c>
      <c r="L25" s="5" t="str">
        <f>IF(COUNT(J25:K25)&lt;2,"",AVERAGE(STDEV(B11:C11),STDEV(D11:E11)))</f>
        <v/>
      </c>
      <c r="M25" s="5" t="str">
        <f>IF(COUNT(J25:K25)&lt;2,"",STDEV(J25:K25))</f>
        <v/>
      </c>
      <c r="N25" s="218" t="str">
        <f t="shared" si="4"/>
        <v/>
      </c>
      <c r="O25" s="5" t="str">
        <f t="shared" si="5"/>
        <v/>
      </c>
      <c r="P25" s="221" t="str">
        <f t="shared" si="7"/>
        <v/>
      </c>
      <c r="Q25" s="194" t="str">
        <f t="shared" si="6"/>
        <v/>
      </c>
    </row>
    <row r="26" spans="1:17" x14ac:dyDescent="0.25">
      <c r="A26" s="109" t="s">
        <v>113</v>
      </c>
      <c r="B26" s="187" t="s">
        <v>119</v>
      </c>
      <c r="C26" s="188" t="s">
        <v>120</v>
      </c>
      <c r="D26" s="109" t="s">
        <v>153</v>
      </c>
      <c r="E26" s="187" t="s">
        <v>119</v>
      </c>
      <c r="F26" s="188" t="s">
        <v>120</v>
      </c>
    </row>
    <row r="27" spans="1:17" x14ac:dyDescent="0.25">
      <c r="A27" s="186" t="s">
        <v>117</v>
      </c>
      <c r="B27" s="222">
        <f>B6</f>
        <v>0</v>
      </c>
      <c r="C27" s="222">
        <f>D6</f>
        <v>0</v>
      </c>
      <c r="D27" s="186" t="s">
        <v>117</v>
      </c>
      <c r="E27" s="222">
        <f>B11</f>
        <v>0</v>
      </c>
      <c r="F27" s="189">
        <f>D11</f>
        <v>0</v>
      </c>
      <c r="O27" s="223" t="s">
        <v>132</v>
      </c>
    </row>
    <row r="28" spans="1:17" ht="15.75" thickBot="1" x14ac:dyDescent="0.3">
      <c r="A28" s="108" t="s">
        <v>118</v>
      </c>
      <c r="B28" s="114">
        <f>C6</f>
        <v>0</v>
      </c>
      <c r="C28" s="115">
        <f>E6</f>
        <v>0</v>
      </c>
      <c r="D28" s="108" t="s">
        <v>118</v>
      </c>
      <c r="E28" s="114">
        <f>C11</f>
        <v>0</v>
      </c>
      <c r="F28" s="115">
        <f>E11</f>
        <v>0</v>
      </c>
      <c r="O28" s="223" t="s">
        <v>134</v>
      </c>
      <c r="P28" s="132" t="str">
        <f>IF(COUNT(P16:P25)&lt;2,"?",IF(ISERROR(AVERAGE(P16:P25)),"?",FIXED(AVERAGE(P16:P25),1)&amp;" (± "&amp;FIXED(STDEV(P16:P25)*TINV((100-95)/100,(COUNT(P16:P25)-1))/SQRT(COUNT(P16:P25)),0)&amp;") %"))</f>
        <v>?</v>
      </c>
    </row>
    <row r="29" spans="1:17" x14ac:dyDescent="0.25">
      <c r="O29" s="93" t="str">
        <f>IF(COUNT(P16:P25)&lt;2,"","Gemäß vorliegenden Daten entspricht dieses einem Erwartungsbereich der Unsicherheit der Probenahme, von "&amp;ROUND(AVERAGE(P16:P25)-STDEV(P16:P25)*TINV((100-95)/100,(COUNT(P16:P25)-1))/SQRT(COUNT(P16:P25)),0)&amp;"%  bis")</f>
        <v/>
      </c>
      <c r="P29" s="2" t="str">
        <f>IF(COUNT(P16:P25)&lt;2,"?",IF(COUNT(P16:P25)&lt;2,"",ROUND(AVERAGE(P16:P25)+STDEV(P16:P25)*TINV((100-95)/100,(COUNT(P16:P25)-1))/SQRT(COUNT(P16:P25)),0)&amp;" %"))</f>
        <v>?</v>
      </c>
    </row>
  </sheetData>
  <sheetProtection sheet="1" objects="1" scenarios="1"/>
  <conditionalFormatting sqref="F2:G11">
    <cfRule type="cellIs" dxfId="1" priority="1" operator="notBetween">
      <formula>-9E+300</formula>
      <formula>9E+300</formula>
    </cfRule>
  </conditionalFormatting>
  <pageMargins left="0.7" right="0.7" top="0.78740157499999996" bottom="0.78740157499999996"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M19"/>
  <sheetViews>
    <sheetView tabSelected="1" workbookViewId="0"/>
  </sheetViews>
  <sheetFormatPr baseColWidth="10" defaultColWidth="11.5703125" defaultRowHeight="12.75" x14ac:dyDescent="0.2"/>
  <cols>
    <col min="1" max="16384" width="11.5703125" style="63"/>
  </cols>
  <sheetData>
    <row r="11" spans="2:13" ht="18" x14ac:dyDescent="0.25">
      <c r="B11" s="62" t="s">
        <v>81</v>
      </c>
      <c r="D11" s="64" t="s">
        <v>82</v>
      </c>
    </row>
    <row r="13" spans="2:13" ht="18" x14ac:dyDescent="0.25">
      <c r="B13" s="247" t="s">
        <v>104</v>
      </c>
      <c r="C13" s="248"/>
      <c r="D13" s="248"/>
      <c r="E13" s="248"/>
      <c r="F13" s="248"/>
      <c r="G13" s="248"/>
      <c r="H13" s="248"/>
      <c r="I13" s="248"/>
      <c r="J13" s="248"/>
      <c r="K13" s="248"/>
      <c r="L13" s="248"/>
      <c r="M13" s="248"/>
    </row>
    <row r="14" spans="2:13" ht="14.25" x14ac:dyDescent="0.2">
      <c r="B14" s="249" t="s">
        <v>85</v>
      </c>
      <c r="C14" s="249"/>
      <c r="D14" s="249"/>
      <c r="E14" s="249"/>
      <c r="F14" s="249"/>
      <c r="G14" s="249"/>
      <c r="H14" s="249"/>
      <c r="I14" s="249"/>
      <c r="J14" s="249"/>
      <c r="K14" s="249"/>
      <c r="L14" s="249"/>
      <c r="M14" s="249"/>
    </row>
    <row r="15" spans="2:13" ht="14.25" x14ac:dyDescent="0.2">
      <c r="B15" s="65" t="s">
        <v>86</v>
      </c>
      <c r="C15" s="66"/>
      <c r="D15" s="66"/>
      <c r="E15" s="66"/>
      <c r="F15" s="66"/>
      <c r="G15" s="66"/>
      <c r="H15" s="66"/>
      <c r="I15" s="66"/>
      <c r="J15" s="66"/>
      <c r="K15" s="66"/>
      <c r="L15" s="66"/>
      <c r="M15" s="66"/>
    </row>
    <row r="16" spans="2:13" ht="14.25" x14ac:dyDescent="0.2">
      <c r="B16" s="100" t="s">
        <v>103</v>
      </c>
      <c r="C16" s="66"/>
      <c r="D16" s="66"/>
      <c r="E16" s="66"/>
      <c r="F16" s="66"/>
      <c r="G16" s="66"/>
      <c r="H16" s="66"/>
      <c r="I16" s="66"/>
      <c r="J16" s="66"/>
      <c r="K16" s="66"/>
      <c r="L16" s="66"/>
      <c r="M16" s="66"/>
    </row>
    <row r="19" spans="2:13" x14ac:dyDescent="0.2">
      <c r="B19" s="250" t="s">
        <v>83</v>
      </c>
      <c r="C19" s="250"/>
      <c r="D19" s="250"/>
      <c r="E19" s="250"/>
      <c r="F19" s="250"/>
      <c r="G19" s="250"/>
      <c r="H19" s="250"/>
      <c r="I19" s="250"/>
      <c r="J19" s="250"/>
      <c r="K19" s="250"/>
      <c r="L19" s="250"/>
      <c r="M19" s="250"/>
    </row>
  </sheetData>
  <sheetProtection sheet="1" objects="1" scenarios="1"/>
  <mergeCells count="3">
    <mergeCell ref="B13:M13"/>
    <mergeCell ref="B14:M14"/>
    <mergeCell ref="B19:M19"/>
  </mergeCells>
  <hyperlinks>
    <hyperlink ref="D11" r:id="rId1"/>
  </hyperlinks>
  <pageMargins left="0.78740157499999996" right="0.78740157499999996" top="0.984251969" bottom="0.984251969" header="0.4921259845" footer="0.4921259845"/>
  <pageSetup paperSize="9" orientation="portrait" horizontalDpi="0" verticalDpi="0"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workbookViewId="0">
      <selection activeCell="C15" sqref="C15:F15"/>
    </sheetView>
  </sheetViews>
  <sheetFormatPr baseColWidth="10" defaultRowHeight="15" x14ac:dyDescent="0.25"/>
  <cols>
    <col min="1" max="6" width="13.7109375" style="2" customWidth="1"/>
    <col min="7" max="7" width="0.140625" style="2" customWidth="1"/>
    <col min="8" max="8" width="2.7109375" style="2" customWidth="1"/>
    <col min="9" max="13" width="7.7109375" style="2" customWidth="1"/>
    <col min="14" max="14" width="12.7109375" style="2" customWidth="1"/>
    <col min="15" max="15" width="2.7109375" style="2" customWidth="1"/>
    <col min="16" max="16" width="12.7109375" style="2" customWidth="1"/>
    <col min="17" max="18" width="14.7109375" style="2" customWidth="1"/>
    <col min="19" max="19" width="12.7109375" style="2" customWidth="1"/>
    <col min="20" max="16384" width="11.42578125" style="2"/>
  </cols>
  <sheetData>
    <row r="1" spans="1:9" x14ac:dyDescent="0.25">
      <c r="A1" s="1" t="s">
        <v>0</v>
      </c>
      <c r="F1" s="18" t="s">
        <v>203</v>
      </c>
    </row>
    <row r="2" spans="1:9" ht="16.5" customHeight="1" x14ac:dyDescent="0.25">
      <c r="A2" s="2" t="s">
        <v>39</v>
      </c>
    </row>
    <row r="3" spans="1:9" ht="12.75" customHeight="1" x14ac:dyDescent="0.25">
      <c r="A3" s="2" t="s">
        <v>48</v>
      </c>
    </row>
    <row r="4" spans="1:9" ht="12.75" customHeight="1" x14ac:dyDescent="0.25">
      <c r="A4" s="2" t="s">
        <v>40</v>
      </c>
    </row>
    <row r="5" spans="1:9" ht="12.75" customHeight="1" x14ac:dyDescent="0.25">
      <c r="A5" s="2" t="s">
        <v>41</v>
      </c>
    </row>
    <row r="6" spans="1:9" ht="12.75" customHeight="1" x14ac:dyDescent="0.25">
      <c r="A6" s="2" t="s">
        <v>42</v>
      </c>
    </row>
    <row r="7" spans="1:9" ht="21" customHeight="1" x14ac:dyDescent="0.25">
      <c r="A7" s="1" t="s">
        <v>84</v>
      </c>
    </row>
    <row r="8" spans="1:9" ht="16.5" customHeight="1" x14ac:dyDescent="0.25">
      <c r="A8" s="2" t="s">
        <v>45</v>
      </c>
      <c r="D8" s="232"/>
    </row>
    <row r="9" spans="1:9" ht="12.75" customHeight="1" x14ac:dyDescent="0.25">
      <c r="A9" s="2" t="s">
        <v>47</v>
      </c>
    </row>
    <row r="10" spans="1:9" ht="14.25" customHeight="1" x14ac:dyDescent="0.35">
      <c r="A10" s="2" t="s">
        <v>46</v>
      </c>
    </row>
    <row r="11" spans="1:9" ht="21" customHeight="1" x14ac:dyDescent="0.25">
      <c r="A11" s="1" t="s">
        <v>1</v>
      </c>
    </row>
    <row r="12" spans="1:9" ht="16.5" customHeight="1" x14ac:dyDescent="0.25">
      <c r="A12" s="2" t="s">
        <v>43</v>
      </c>
    </row>
    <row r="13" spans="1:9" ht="12.75" customHeight="1" x14ac:dyDescent="0.25">
      <c r="A13" s="2" t="s">
        <v>44</v>
      </c>
    </row>
    <row r="14" spans="1:9" ht="12.75" customHeight="1" x14ac:dyDescent="0.25">
      <c r="A14" s="14" t="s">
        <v>35</v>
      </c>
    </row>
    <row r="15" spans="1:9" ht="21" customHeight="1" x14ac:dyDescent="0.25">
      <c r="A15" s="1" t="s">
        <v>6</v>
      </c>
      <c r="C15" s="252"/>
      <c r="D15" s="252"/>
      <c r="E15" s="252"/>
      <c r="F15" s="252"/>
      <c r="H15" s="21"/>
      <c r="I15" s="232"/>
    </row>
    <row r="16" spans="1:9" ht="18" customHeight="1" x14ac:dyDescent="0.25">
      <c r="A16" s="2" t="s">
        <v>7</v>
      </c>
      <c r="C16" s="251"/>
      <c r="D16" s="251"/>
      <c r="E16" s="251"/>
      <c r="F16" s="251"/>
      <c r="H16" s="21"/>
      <c r="I16" s="232"/>
    </row>
    <row r="17" spans="1:13" ht="18" customHeight="1" x14ac:dyDescent="0.25">
      <c r="A17" s="233" t="s">
        <v>8</v>
      </c>
      <c r="C17" s="251"/>
      <c r="D17" s="251"/>
      <c r="E17" s="251"/>
      <c r="F17" s="251"/>
      <c r="H17" s="21"/>
      <c r="I17" s="232"/>
    </row>
    <row r="18" spans="1:13" ht="18" customHeight="1" x14ac:dyDescent="0.25">
      <c r="A18" s="2" t="s">
        <v>78</v>
      </c>
      <c r="C18" s="253"/>
      <c r="D18" s="253"/>
      <c r="E18" s="253"/>
      <c r="F18" s="253"/>
      <c r="H18" s="21"/>
      <c r="I18" s="232"/>
    </row>
    <row r="19" spans="1:13" ht="15" customHeight="1" x14ac:dyDescent="0.25">
      <c r="C19" s="252"/>
      <c r="D19" s="252"/>
      <c r="E19" s="252"/>
      <c r="F19" s="252"/>
      <c r="H19" s="21"/>
      <c r="I19" s="232"/>
    </row>
    <row r="20" spans="1:13" ht="24" customHeight="1" x14ac:dyDescent="0.25">
      <c r="A20" s="1" t="s">
        <v>77</v>
      </c>
      <c r="C20" s="251"/>
      <c r="D20" s="251"/>
      <c r="E20" s="251"/>
      <c r="F20" s="251"/>
      <c r="H20" s="21"/>
      <c r="I20" s="234" t="s">
        <v>29</v>
      </c>
    </row>
    <row r="21" spans="1:13" ht="18" customHeight="1" x14ac:dyDescent="0.25">
      <c r="A21" s="2" t="s">
        <v>9</v>
      </c>
      <c r="C21" s="251"/>
      <c r="D21" s="251"/>
      <c r="E21" s="251"/>
      <c r="F21" s="251"/>
      <c r="H21" s="22"/>
      <c r="J21" s="235" t="s">
        <v>36</v>
      </c>
      <c r="K21" s="24">
        <v>5</v>
      </c>
    </row>
    <row r="22" spans="1:13" ht="18" customHeight="1" x14ac:dyDescent="0.25">
      <c r="A22" s="2" t="s">
        <v>10</v>
      </c>
      <c r="C22" s="251"/>
      <c r="D22" s="251"/>
      <c r="E22" s="79"/>
      <c r="G22" s="236"/>
      <c r="H22" s="23"/>
      <c r="J22" s="235" t="s">
        <v>37</v>
      </c>
      <c r="K22" s="24">
        <v>5</v>
      </c>
    </row>
    <row r="23" spans="1:13" ht="18" customHeight="1" x14ac:dyDescent="0.25">
      <c r="C23" s="236"/>
      <c r="D23" s="236"/>
      <c r="E23" s="236"/>
      <c r="G23" s="236"/>
      <c r="H23" s="23"/>
      <c r="I23" s="75" t="s">
        <v>89</v>
      </c>
    </row>
    <row r="24" spans="1:13" ht="20.25" customHeight="1" x14ac:dyDescent="0.25">
      <c r="A24" s="1" t="s">
        <v>2</v>
      </c>
      <c r="G24" s="236"/>
      <c r="H24" s="23"/>
      <c r="L24" s="73" t="s">
        <v>88</v>
      </c>
      <c r="M24" s="76">
        <v>95</v>
      </c>
    </row>
    <row r="25" spans="1:13" ht="13.5" customHeight="1" thickBot="1" x14ac:dyDescent="0.3">
      <c r="A25" s="3"/>
      <c r="B25" s="3" t="s">
        <v>3</v>
      </c>
      <c r="C25" s="3" t="s">
        <v>4</v>
      </c>
      <c r="D25" s="3" t="s">
        <v>5</v>
      </c>
      <c r="E25" s="3" t="s">
        <v>25</v>
      </c>
      <c r="F25" s="3" t="s">
        <v>26</v>
      </c>
      <c r="G25" s="236"/>
      <c r="H25" s="23"/>
      <c r="I25" s="68" t="s">
        <v>3</v>
      </c>
      <c r="J25" s="68" t="s">
        <v>4</v>
      </c>
      <c r="K25" s="68" t="s">
        <v>5</v>
      </c>
      <c r="L25" s="68" t="s">
        <v>25</v>
      </c>
      <c r="M25" s="69" t="s">
        <v>26</v>
      </c>
    </row>
    <row r="26" spans="1:13" ht="13.5" customHeight="1" x14ac:dyDescent="0.25">
      <c r="A26" s="4" t="s">
        <v>11</v>
      </c>
      <c r="B26" s="16"/>
      <c r="C26" s="16"/>
      <c r="D26" s="16"/>
      <c r="E26" s="16"/>
      <c r="F26" s="16"/>
      <c r="G26" s="236"/>
      <c r="H26" s="23"/>
      <c r="I26" s="67" t="str">
        <f>IF(ISBLANK(B26),"",IF(COUNT(B$26:B$35)&lt;3,"?",IF(STDEV(B$26:B$35)=0,"",IF(AND(((B26-I$37)/STDEV(B$26:B$35))&lt;((COUNT(B$26:B$35)-1)/SQRT(COUNT(B$26:B$35))*SQRT(TINV(((100-$M$24)/100)/(COUNT(B$26:B$35)/2),COUNT(B$26:B$35)-2)^2/(COUNT(B$26:B$35)-2+TINV(((100-$M$24)/100)/(COUNT(B$26:B$35)/2),COUNT(B$26:B$35)-2)^2))),(-((B26-I$37)/STDEV(B$26:B$35))&lt;((COUNT(B$26:B$35)-1)/SQRT(COUNT(B$26:B$35))*SQRT(TINV(((100-$M$24)/100)/(COUNT(B$26:B$35)/2),COUNT(B$26:B$35)-2)^2/(COUNT(B$26:B$35)-2+TINV(((100-$M$24)/100)/(COUNT(B$26:B$35)/2),COUNT(B$26:B$35)-2)^2))))),"","x"))))</f>
        <v/>
      </c>
      <c r="J26" s="67" t="str">
        <f>IF(ISBLANK(C26),"",IF(COUNT(C$26:C$35)&lt;3,"?",IF(STDEV(C$26:C$35)=0,"",IF(AND(((C26-J$37)/STDEV(C$26:C$35))&lt;((COUNT(C$26:C$35)-1)/SQRT(COUNT(C$26:C$35))*SQRT(TINV(((100-$M$24)/100)/(COUNT(C$26:C$35)/2),COUNT(C$26:C$35)-2)^2/(COUNT(C$26:C$35)-2+TINV(((100-$M$24)/100)/(COUNT(C$26:C$35)/2),COUNT(C$26:C$35)-2)^2))),(-((C26-J$37)/STDEV(C$26:C$35))&lt;((COUNT(C$26:C$35)-1)/SQRT(COUNT(C$26:C$35))*SQRT(TINV(((100-$M$24)/100)/(COUNT(C$26:C$35)/2),COUNT(C$26:C$35)-2)^2/(COUNT(C$26:C$35)-2+TINV(((100-$M$24)/100)/(COUNT(C$26:C$35)/2),COUNT(C$26:C$35)-2)^2))))),"","x"))))</f>
        <v/>
      </c>
      <c r="K26" s="67" t="str">
        <f t="shared" ref="K26:M35" si="0">IF(ISBLANK(D26),"",IF(COUNT(D$26:D$35)&lt;3,"?",IF(STDEV(D$26:D$35)=0,"",IF(AND(((D26-K$37)/STDEV(D$26:D$35))&lt;((COUNT(D$26:D$35)-1)/SQRT(COUNT(D$26:D$35))*SQRT(TINV(((100-$M$24)/100)/(COUNT(D$26:D$35)/2),COUNT(D$26:D$35)-2)^2/(COUNT(D$26:D$35)-2+TINV(((100-$M$24)/100)/(COUNT(D$26:D$35)/2),COUNT(D$26:D$35)-2)^2))),(-((D26-K$37)/STDEV(D$26:D$35))&lt;((COUNT(D$26:D$35)-1)/SQRT(COUNT(D$26:D$35))*SQRT(TINV(((100-$M$24)/100)/(COUNT(D$26:D$35)/2),COUNT(D$26:D$35)-2)^2/(COUNT(D$26:D$35)-2+TINV(((100-$M$24)/100)/(COUNT(D$26:D$35)/2),COUNT(D$26:D$35)-2)^2))))),"","x"))))</f>
        <v/>
      </c>
      <c r="L26" s="67" t="str">
        <f t="shared" si="0"/>
        <v/>
      </c>
      <c r="M26" s="67" t="str">
        <f t="shared" si="0"/>
        <v/>
      </c>
    </row>
    <row r="27" spans="1:13" ht="13.5" customHeight="1" x14ac:dyDescent="0.25">
      <c r="A27" s="5" t="s">
        <v>12</v>
      </c>
      <c r="B27" s="17"/>
      <c r="C27" s="16"/>
      <c r="D27" s="16"/>
      <c r="E27" s="16"/>
      <c r="F27" s="16"/>
      <c r="G27" s="236"/>
      <c r="H27" s="23"/>
      <c r="I27" s="67" t="str">
        <f t="shared" ref="I27:J35" si="1">IF(ISBLANK(B27),"",IF(COUNT(B$26:B$35)&lt;3,"?",IF(STDEV(B$26:B$35)=0,"",IF(AND(((B27-I$37)/STDEV(B$26:B$35))&lt;((COUNT(B$26:B$35)-1)/SQRT(COUNT(B$26:B$35))*SQRT(TINV(((100-$M$24)/100)/(COUNT(B$26:B$35)/2),COUNT(B$26:B$35)-2)^2/(COUNT(B$26:B$35)-2+TINV(((100-$M$24)/100)/(COUNT(B$26:B$35)/2),COUNT(B$26:B$35)-2)^2))),(-((B27-I$37)/STDEV(B$26:B$35))&lt;((COUNT(B$26:B$35)-1)/SQRT(COUNT(B$26:B$35))*SQRT(TINV(((100-$M$24)/100)/(COUNT(B$26:B$35)/2),COUNT(B$26:B$35)-2)^2/(COUNT(B$26:B$35)-2+TINV(((100-$M$24)/100)/(COUNT(B$26:B$35)/2),COUNT(B$26:B$35)-2)^2))))),"","x"))))</f>
        <v/>
      </c>
      <c r="J27" s="67" t="str">
        <f t="shared" si="1"/>
        <v/>
      </c>
      <c r="K27" s="67" t="str">
        <f t="shared" si="0"/>
        <v/>
      </c>
      <c r="L27" s="67" t="str">
        <f t="shared" si="0"/>
        <v/>
      </c>
      <c r="M27" s="67" t="str">
        <f t="shared" si="0"/>
        <v/>
      </c>
    </row>
    <row r="28" spans="1:13" ht="13.5" customHeight="1" x14ac:dyDescent="0.25">
      <c r="A28" s="5" t="s">
        <v>13</v>
      </c>
      <c r="B28" s="17"/>
      <c r="C28" s="16"/>
      <c r="D28" s="16"/>
      <c r="E28" s="16"/>
      <c r="F28" s="16"/>
      <c r="G28" s="236"/>
      <c r="H28" s="23"/>
      <c r="I28" s="67" t="str">
        <f t="shared" si="1"/>
        <v/>
      </c>
      <c r="J28" s="67" t="str">
        <f t="shared" si="1"/>
        <v/>
      </c>
      <c r="K28" s="67" t="str">
        <f t="shared" si="0"/>
        <v/>
      </c>
      <c r="L28" s="67" t="str">
        <f t="shared" si="0"/>
        <v/>
      </c>
      <c r="M28" s="67" t="str">
        <f t="shared" si="0"/>
        <v/>
      </c>
    </row>
    <row r="29" spans="1:13" ht="13.5" customHeight="1" x14ac:dyDescent="0.25">
      <c r="A29" s="5" t="s">
        <v>14</v>
      </c>
      <c r="B29" s="17"/>
      <c r="C29" s="16"/>
      <c r="D29" s="16"/>
      <c r="E29" s="16"/>
      <c r="F29" s="16"/>
      <c r="G29" s="236"/>
      <c r="H29" s="23"/>
      <c r="I29" s="67" t="str">
        <f t="shared" si="1"/>
        <v/>
      </c>
      <c r="J29" s="67" t="str">
        <f t="shared" si="1"/>
        <v/>
      </c>
      <c r="K29" s="67" t="str">
        <f t="shared" si="0"/>
        <v/>
      </c>
      <c r="L29" s="67" t="str">
        <f t="shared" si="0"/>
        <v/>
      </c>
      <c r="M29" s="67" t="str">
        <f t="shared" si="0"/>
        <v/>
      </c>
    </row>
    <row r="30" spans="1:13" ht="13.5" customHeight="1" x14ac:dyDescent="0.25">
      <c r="A30" s="5" t="s">
        <v>15</v>
      </c>
      <c r="B30" s="17"/>
      <c r="C30" s="17"/>
      <c r="D30" s="17"/>
      <c r="E30" s="17"/>
      <c r="F30" s="17"/>
      <c r="G30" s="236"/>
      <c r="H30" s="23"/>
      <c r="I30" s="67" t="str">
        <f t="shared" si="1"/>
        <v/>
      </c>
      <c r="J30" s="67" t="str">
        <f t="shared" si="1"/>
        <v/>
      </c>
      <c r="K30" s="67" t="str">
        <f t="shared" si="0"/>
        <v/>
      </c>
      <c r="L30" s="67" t="str">
        <f t="shared" si="0"/>
        <v/>
      </c>
      <c r="M30" s="67" t="str">
        <f t="shared" si="0"/>
        <v/>
      </c>
    </row>
    <row r="31" spans="1:13" ht="13.5" customHeight="1" x14ac:dyDescent="0.25">
      <c r="A31" s="5" t="s">
        <v>16</v>
      </c>
      <c r="B31" s="17"/>
      <c r="C31" s="17"/>
      <c r="D31" s="17"/>
      <c r="E31" s="17"/>
      <c r="F31" s="17"/>
      <c r="G31" s="236"/>
      <c r="H31" s="23"/>
      <c r="I31" s="67" t="str">
        <f t="shared" si="1"/>
        <v/>
      </c>
      <c r="J31" s="67" t="str">
        <f t="shared" si="1"/>
        <v/>
      </c>
      <c r="K31" s="67" t="str">
        <f t="shared" si="0"/>
        <v/>
      </c>
      <c r="L31" s="67" t="str">
        <f t="shared" si="0"/>
        <v/>
      </c>
      <c r="M31" s="67" t="str">
        <f t="shared" si="0"/>
        <v/>
      </c>
    </row>
    <row r="32" spans="1:13" ht="13.5" customHeight="1" x14ac:dyDescent="0.25">
      <c r="A32" s="5" t="s">
        <v>17</v>
      </c>
      <c r="B32" s="17"/>
      <c r="C32" s="17"/>
      <c r="D32" s="17"/>
      <c r="E32" s="17"/>
      <c r="F32" s="17"/>
      <c r="G32" s="236"/>
      <c r="H32" s="23"/>
      <c r="I32" s="67" t="str">
        <f t="shared" si="1"/>
        <v/>
      </c>
      <c r="J32" s="67" t="str">
        <f t="shared" si="1"/>
        <v/>
      </c>
      <c r="K32" s="67" t="str">
        <f t="shared" si="0"/>
        <v/>
      </c>
      <c r="L32" s="67" t="str">
        <f t="shared" si="0"/>
        <v/>
      </c>
      <c r="M32" s="67" t="str">
        <f t="shared" si="0"/>
        <v/>
      </c>
    </row>
    <row r="33" spans="1:13" ht="13.5" customHeight="1" x14ac:dyDescent="0.25">
      <c r="A33" s="5" t="s">
        <v>18</v>
      </c>
      <c r="B33" s="17"/>
      <c r="C33" s="17"/>
      <c r="D33" s="17"/>
      <c r="E33" s="17"/>
      <c r="F33" s="17"/>
      <c r="G33" s="236"/>
      <c r="H33" s="23"/>
      <c r="I33" s="67" t="str">
        <f t="shared" si="1"/>
        <v/>
      </c>
      <c r="J33" s="67" t="str">
        <f t="shared" si="1"/>
        <v/>
      </c>
      <c r="K33" s="67" t="str">
        <f t="shared" si="0"/>
        <v/>
      </c>
      <c r="L33" s="67" t="str">
        <f t="shared" si="0"/>
        <v/>
      </c>
      <c r="M33" s="67" t="str">
        <f t="shared" si="0"/>
        <v/>
      </c>
    </row>
    <row r="34" spans="1:13" ht="13.5" customHeight="1" x14ac:dyDescent="0.25">
      <c r="A34" s="5" t="s">
        <v>19</v>
      </c>
      <c r="B34" s="17"/>
      <c r="C34" s="17"/>
      <c r="D34" s="17"/>
      <c r="E34" s="17"/>
      <c r="F34" s="17"/>
      <c r="G34" s="236"/>
      <c r="H34" s="23"/>
      <c r="I34" s="67" t="str">
        <f t="shared" si="1"/>
        <v/>
      </c>
      <c r="J34" s="67" t="str">
        <f t="shared" si="1"/>
        <v/>
      </c>
      <c r="K34" s="67" t="str">
        <f t="shared" si="0"/>
        <v/>
      </c>
      <c r="L34" s="67" t="str">
        <f t="shared" si="0"/>
        <v/>
      </c>
      <c r="M34" s="67" t="str">
        <f t="shared" si="0"/>
        <v/>
      </c>
    </row>
    <row r="35" spans="1:13" ht="13.5" customHeight="1" thickBot="1" x14ac:dyDescent="0.3">
      <c r="A35" s="3" t="s">
        <v>20</v>
      </c>
      <c r="B35" s="17"/>
      <c r="C35" s="17"/>
      <c r="D35" s="17"/>
      <c r="E35" s="17"/>
      <c r="F35" s="17"/>
      <c r="G35" s="236"/>
      <c r="H35" s="23"/>
      <c r="I35" s="67" t="str">
        <f t="shared" si="1"/>
        <v/>
      </c>
      <c r="J35" s="67" t="str">
        <f t="shared" si="1"/>
        <v/>
      </c>
      <c r="K35" s="67" t="str">
        <f t="shared" si="0"/>
        <v/>
      </c>
      <c r="L35" s="67" t="str">
        <f t="shared" si="0"/>
        <v/>
      </c>
      <c r="M35" s="67" t="str">
        <f t="shared" si="0"/>
        <v/>
      </c>
    </row>
    <row r="36" spans="1:13" ht="13.5" customHeight="1" x14ac:dyDescent="0.25">
      <c r="A36" s="15" t="s">
        <v>32</v>
      </c>
      <c r="B36" s="15" t="str">
        <f>IF(COUNT(B26:B35)=0,"",1*FIXED(AVERAGE(B26:B35),$K21-1-INT(LOG(ABS(AVERAGE(B26:B35)))),TRUE))</f>
        <v/>
      </c>
      <c r="C36" s="15" t="str">
        <f>IF(COUNT(C26:C35)=0,"",1*FIXED(AVERAGE(C26:C35),$K21-1-INT(LOG(ABS(AVERAGE(C26:C35)))),TRUE))</f>
        <v/>
      </c>
      <c r="D36" s="15" t="str">
        <f>IF(COUNT(D26:D35)=0,"",1*FIXED(AVERAGE(D26:D35),$K21-1-INT(LOG(ABS(AVERAGE(D26:D35)))),TRUE))</f>
        <v/>
      </c>
      <c r="E36" s="15" t="str">
        <f>IF(COUNT(E26:E35)=0,"",1*FIXED(AVERAGE(E26:E35),$K21-1-INT(LOG(ABS(AVERAGE(E26:E35)))),TRUE))</f>
        <v/>
      </c>
      <c r="F36" s="15" t="str">
        <f>IF(COUNT(F26:F35)=0,"",1*FIXED(AVERAGE(F26:F35),$K21-1-INT(LOG(ABS(AVERAGE(F26:F35)))),TRUE))</f>
        <v/>
      </c>
      <c r="G36" s="236"/>
      <c r="H36" s="23"/>
      <c r="I36" s="70" t="s">
        <v>87</v>
      </c>
      <c r="J36" s="71"/>
      <c r="K36" s="71"/>
      <c r="L36" s="71"/>
      <c r="M36" s="72"/>
    </row>
    <row r="37" spans="1:13" ht="13.5" customHeight="1" thickBot="1" x14ac:dyDescent="0.3">
      <c r="A37" s="4" t="s">
        <v>38</v>
      </c>
      <c r="B37" s="20" t="str">
        <f>IF(COUNT(B26:B35)&lt;2,"",IF(STDEV(B26:B35)=0,0,1*FIXED(STDEV(B26:B35),$K21-1-INT(LOG(ABS(STDEV(B26:B35)))),TRUE)))</f>
        <v/>
      </c>
      <c r="C37" s="20" t="str">
        <f>IF(COUNT(C26:C35)&lt;2,"",IF(STDEV(C26:C35)=0,0,1*FIXED(STDEV(C26:C35),$K21-1-INT(LOG(ABS(STDEV(C26:C35)))),TRUE)))</f>
        <v/>
      </c>
      <c r="D37" s="20" t="str">
        <f>IF(COUNT(D26:D35)&lt;2,"",IF(STDEV(D26:D35)=0,0,1*FIXED(STDEV(D26:D35),$K21-1-INT(LOG(ABS(STDEV(D26:D35)))),TRUE)))</f>
        <v/>
      </c>
      <c r="E37" s="20" t="str">
        <f>IF(COUNT(E26:E35)&lt;2,"",IF(STDEV(E26:E35)=0,0,1*FIXED(STDEV(E26:E35),$K21-1-INT(LOG(ABS(STDEV(E26:E35)))),TRUE)))</f>
        <v/>
      </c>
      <c r="F37" s="20" t="str">
        <f>IF(COUNT(F26:F35)&lt;2,"",IF(STDEV(F26:F35)=0,0,1*FIXED(STDEV(F26:F35),$K21-1-INT(LOG(ABS(STDEV(F26:F35)))),TRUE)))</f>
        <v/>
      </c>
      <c r="G37" s="236"/>
      <c r="H37" s="23"/>
      <c r="I37" s="68" t="str">
        <f>IF(COUNT(B26:B35)=0,"",MEDIAN(B26:B35))</f>
        <v/>
      </c>
      <c r="J37" s="68" t="str">
        <f>IF(COUNT(C26:C35)=0,"",MEDIAN(C26:C35))</f>
        <v/>
      </c>
      <c r="K37" s="68" t="str">
        <f>IF(COUNT(D26:D35)=0,"",MEDIAN(D26:D35))</f>
        <v/>
      </c>
      <c r="L37" s="68" t="str">
        <f>IF(COUNT(E26:E35)=0,"",MEDIAN(E26:E35))</f>
        <v/>
      </c>
      <c r="M37" s="69" t="str">
        <f>IF(COUNT(F26:F35)=0,"",MEDIAN(F26:F35))</f>
        <v/>
      </c>
    </row>
    <row r="38" spans="1:13" ht="13.5" customHeight="1" x14ac:dyDescent="0.25">
      <c r="A38" s="85" t="s">
        <v>185</v>
      </c>
      <c r="B38" s="237" t="str">
        <f>IF(COUNT(B26:B35)&lt;2,"",B42-B43)</f>
        <v/>
      </c>
      <c r="C38" s="237" t="str">
        <f>IF(COUNT(C26:C35)&lt;2,"",C42-C43)</f>
        <v/>
      </c>
      <c r="D38" s="237" t="str">
        <f>IF(COUNT(D26:D35)&lt;2,"",D42-D43)</f>
        <v/>
      </c>
      <c r="E38" s="237" t="str">
        <f>IF(COUNT(E26:E35)&lt;2,"",E42-E43)</f>
        <v/>
      </c>
      <c r="F38" s="237" t="str">
        <f>IF(COUNT(F26:F35)&lt;2,"",F42-F43)</f>
        <v/>
      </c>
      <c r="G38" s="236"/>
      <c r="H38" s="23"/>
      <c r="I38" s="74" t="str">
        <f>IF(COUNT(B$26:B$35)&lt;3,"n&lt;3!","")</f>
        <v>n&lt;3!</v>
      </c>
      <c r="J38" s="74" t="str">
        <f t="shared" ref="J38:M38" si="2">IF(COUNT(C$26:C$35)&lt;3,"n&lt;3!","")</f>
        <v>n&lt;3!</v>
      </c>
      <c r="K38" s="74" t="str">
        <f t="shared" si="2"/>
        <v>n&lt;3!</v>
      </c>
      <c r="L38" s="74" t="str">
        <f t="shared" si="2"/>
        <v>n&lt;3!</v>
      </c>
      <c r="M38" s="74" t="str">
        <f t="shared" si="2"/>
        <v>n&lt;3!</v>
      </c>
    </row>
    <row r="39" spans="1:13" ht="13.5" hidden="1" customHeight="1" x14ac:dyDescent="0.25">
      <c r="A39" s="4" t="s">
        <v>32</v>
      </c>
      <c r="B39" s="4" t="str">
        <f>IF(COUNT(B26:B35)=0,"",AVERAGE(B26:B35))</f>
        <v/>
      </c>
      <c r="C39" s="4" t="str">
        <f t="shared" ref="C39:F39" si="3">IF(COUNT(C26:C35)=0,"",AVERAGE(C26:C35))</f>
        <v/>
      </c>
      <c r="D39" s="4" t="str">
        <f t="shared" si="3"/>
        <v/>
      </c>
      <c r="E39" s="4" t="str">
        <f t="shared" si="3"/>
        <v/>
      </c>
      <c r="F39" s="4" t="str">
        <f t="shared" si="3"/>
        <v/>
      </c>
      <c r="G39" s="236"/>
      <c r="H39" s="23"/>
    </row>
    <row r="40" spans="1:13" ht="13.5" hidden="1" customHeight="1" x14ac:dyDescent="0.25">
      <c r="A40" s="6" t="s">
        <v>21</v>
      </c>
      <c r="B40" s="5" t="str">
        <f>IF(COUNT(B26:B35)=0,"",STDEV(B26:B35))</f>
        <v/>
      </c>
      <c r="C40" s="5" t="str">
        <f>IF(COUNT(C26:C35)=0,"",STDEV(C26:C35))</f>
        <v/>
      </c>
      <c r="D40" s="5" t="str">
        <f>IF(COUNT(D26:D35)=0,"",STDEV(D26:D35))</f>
        <v/>
      </c>
      <c r="E40" s="5" t="str">
        <f>IF(COUNT(E26:E35)=0,"",STDEV(E26:E35))</f>
        <v/>
      </c>
      <c r="F40" s="5" t="str">
        <f>IF(COUNT(F26:F35)=0,"",STDEV(F26:F35))</f>
        <v/>
      </c>
      <c r="G40" s="236"/>
      <c r="H40" s="23"/>
    </row>
    <row r="41" spans="1:13" ht="13.5" hidden="1" customHeight="1" x14ac:dyDescent="0.25">
      <c r="A41" s="6" t="s">
        <v>22</v>
      </c>
      <c r="B41" s="8" t="e">
        <f>STDEV(B26:F35)</f>
        <v>#DIV/0!</v>
      </c>
      <c r="C41" s="9"/>
      <c r="D41" s="10"/>
      <c r="E41" s="10"/>
      <c r="F41" s="10"/>
      <c r="G41" s="236"/>
      <c r="H41" s="23"/>
    </row>
    <row r="42" spans="1:13" ht="13.5" hidden="1" customHeight="1" x14ac:dyDescent="0.25">
      <c r="A42" s="7" t="s">
        <v>186</v>
      </c>
      <c r="B42" s="237" t="str">
        <f>IF(COUNT(B26:B35)=0,"",MAX(B26:B35))</f>
        <v/>
      </c>
      <c r="C42" s="237" t="str">
        <f t="shared" ref="C42:F42" si="4">IF(COUNT(C26:C35)=0,"",MAX(C26:C35))</f>
        <v/>
      </c>
      <c r="D42" s="237" t="str">
        <f t="shared" si="4"/>
        <v/>
      </c>
      <c r="E42" s="237" t="str">
        <f t="shared" si="4"/>
        <v/>
      </c>
      <c r="F42" s="237" t="str">
        <f t="shared" si="4"/>
        <v/>
      </c>
      <c r="G42" s="236"/>
      <c r="H42" s="23"/>
    </row>
    <row r="43" spans="1:13" ht="13.5" hidden="1" customHeight="1" x14ac:dyDescent="0.25">
      <c r="A43" s="7" t="s">
        <v>187</v>
      </c>
      <c r="B43" s="237" t="str">
        <f>IF(COUNT(B26:B35)=0,"",MIN(B26:B35))</f>
        <v/>
      </c>
      <c r="C43" s="237" t="str">
        <f t="shared" ref="C43:F43" si="5">IF(COUNT(C26:C35)=0,"",MIN(C26:C35))</f>
        <v/>
      </c>
      <c r="D43" s="237" t="str">
        <f t="shared" si="5"/>
        <v/>
      </c>
      <c r="E43" s="237" t="str">
        <f t="shared" si="5"/>
        <v/>
      </c>
      <c r="F43" s="237" t="str">
        <f t="shared" si="5"/>
        <v/>
      </c>
      <c r="G43" s="236"/>
      <c r="H43" s="23"/>
    </row>
    <row r="44" spans="1:13" ht="13.5" hidden="1" customHeight="1" x14ac:dyDescent="0.25">
      <c r="A44" s="238" t="s">
        <v>188</v>
      </c>
      <c r="B44" s="8">
        <f>SUMSQ(B38:F38)</f>
        <v>0</v>
      </c>
      <c r="C44" s="9"/>
      <c r="D44" s="9"/>
      <c r="E44" s="9"/>
      <c r="F44" s="10"/>
      <c r="G44" s="236"/>
      <c r="H44" s="23"/>
    </row>
    <row r="45" spans="1:13" ht="13.5" hidden="1" customHeight="1" x14ac:dyDescent="0.25">
      <c r="A45" s="238" t="s">
        <v>189</v>
      </c>
      <c r="B45" s="8" t="e">
        <f>SQRT(B44/(2*COUNT(B39:F39)))</f>
        <v>#DIV/0!</v>
      </c>
      <c r="C45" s="9"/>
      <c r="D45" s="9"/>
      <c r="E45" s="9"/>
      <c r="F45" s="10"/>
      <c r="G45" s="236"/>
      <c r="H45" s="23"/>
    </row>
    <row r="46" spans="1:13" ht="13.5" hidden="1" customHeight="1" x14ac:dyDescent="0.25">
      <c r="A46" s="238" t="s">
        <v>190</v>
      </c>
      <c r="B46" s="8" t="e">
        <f>_xlfn.STDEV.S(B42:F43)^2</f>
        <v>#DIV/0!</v>
      </c>
      <c r="C46" s="9"/>
      <c r="D46" s="9"/>
      <c r="E46" s="9"/>
      <c r="F46" s="10"/>
      <c r="G46" s="236"/>
      <c r="H46" s="23"/>
    </row>
    <row r="47" spans="1:13" ht="13.5" hidden="1" customHeight="1" x14ac:dyDescent="0.25">
      <c r="A47" s="238" t="s">
        <v>191</v>
      </c>
      <c r="B47" s="8" t="e">
        <f>(COUNT(B39:F40)/COUNT(B36:F36))^2/((COUNT(B39:F40)/COUNT(B36:F36))^2+1)</f>
        <v>#DIV/0!</v>
      </c>
      <c r="C47" s="9"/>
      <c r="D47" s="9"/>
      <c r="E47" s="9"/>
      <c r="F47" s="10"/>
      <c r="G47" s="236"/>
      <c r="H47" s="23"/>
    </row>
    <row r="48" spans="1:13" ht="13.5" hidden="1" customHeight="1" x14ac:dyDescent="0.25">
      <c r="A48" s="238" t="s">
        <v>192</v>
      </c>
      <c r="B48" s="8" t="e">
        <f>SQRT(B46*B47)</f>
        <v>#DIV/0!</v>
      </c>
      <c r="C48" s="9"/>
      <c r="D48" s="9"/>
      <c r="E48" s="9"/>
      <c r="F48" s="10"/>
      <c r="G48" s="236"/>
      <c r="H48" s="23"/>
    </row>
    <row r="49" spans="1:13" ht="13.5" customHeight="1" x14ac:dyDescent="0.25">
      <c r="A49" s="239" t="s">
        <v>193</v>
      </c>
      <c r="B49" s="240" t="str">
        <f>IF(COUNT(B39:F39)&lt;2,"",IF(B48&gt;3*B45,"Gemäß DIN 19698-2:2016-12 Anhang D war die Probenahme nicht repräsentativ.","Gemäß DIN 19698-2:2016-12 Anhang D war die Probenahme repräsentativ."))</f>
        <v/>
      </c>
      <c r="C49" s="9"/>
      <c r="D49" s="9"/>
      <c r="E49" s="9"/>
      <c r="F49" s="10"/>
      <c r="G49" s="236"/>
    </row>
    <row r="50" spans="1:13" ht="13.5" customHeight="1" x14ac:dyDescent="0.25">
      <c r="A50" s="241"/>
      <c r="B50" s="242"/>
      <c r="C50" s="243"/>
      <c r="D50" s="243"/>
      <c r="E50" s="243"/>
      <c r="F50" s="243"/>
      <c r="G50" s="236"/>
      <c r="H50" s="235"/>
      <c r="I50" s="244"/>
      <c r="J50" s="244"/>
      <c r="K50" s="244"/>
      <c r="L50" s="244"/>
      <c r="M50" s="244"/>
    </row>
    <row r="51" spans="1:13" ht="13.5" customHeight="1" x14ac:dyDescent="0.35">
      <c r="A51" s="2" t="s">
        <v>96</v>
      </c>
      <c r="D51" s="245" t="str">
        <f>IF(COUNT(B37:F37)&lt;2,"?",IF(AND(COUNT(B40:F40)&gt;0,SUM(B40:F40)=0),0,FIXED(AVERAGE(B40:F40),K22-1-INT(LOG(ABS(AVERAGE(B40:F40)))),TRUE)))</f>
        <v>?</v>
      </c>
      <c r="E51" s="2" t="str">
        <f>IF(ISBLANK(C22),"",C22)</f>
        <v/>
      </c>
    </row>
    <row r="52" spans="1:13" ht="13.5" customHeight="1" x14ac:dyDescent="0.35">
      <c r="A52" s="2" t="s">
        <v>95</v>
      </c>
      <c r="D52" s="245" t="str">
        <f>IF(COUNT(B37:F37)&lt;2,"?",FIXED(SQRT(AVERAGE(B40:F40)^2+STDEV(B39:F39)^2),K22-1-INT(LOG(ABS(SQRT(AVERAGE(B40:F40)^2+STDEV(B39:F39)^2)))),TRUE))</f>
        <v>?</v>
      </c>
      <c r="E52" s="2" t="str">
        <f>IF(ISBLANK(C22),"",C22)</f>
        <v/>
      </c>
    </row>
    <row r="53" spans="1:13" ht="13.5" customHeight="1" x14ac:dyDescent="0.35">
      <c r="A53" s="2" t="s">
        <v>94</v>
      </c>
      <c r="D53" s="245" t="str">
        <f>IF(COUNT(B37:F37)&lt;2,"?",IF(STDEV(B39:F39)=0,0,FIXED(STDEV(B39:F39),K22-1-INT(LOG(ABS(STDEV(B39:F39)))),TRUE)))</f>
        <v>?</v>
      </c>
      <c r="E53" s="2" t="str">
        <f>IF(ISBLANK(C22),"",C22)</f>
        <v/>
      </c>
    </row>
    <row r="54" spans="1:13" ht="21" customHeight="1" x14ac:dyDescent="0.25">
      <c r="A54" s="11" t="s">
        <v>24</v>
      </c>
      <c r="D54" s="246" t="str">
        <f>IF(COUNT(B37:F37)&lt;2,"?",IF(STDEV(B39:F39)=0,0,FIXED(2*D53,K22-1-INT(LOG(ABS(2*D53))),TRUE)))</f>
        <v>?</v>
      </c>
      <c r="E54" s="12" t="str">
        <f>IF(ISBLANK(C22),"",C22)</f>
        <v/>
      </c>
      <c r="J54" s="79"/>
    </row>
    <row r="55" spans="1:13" ht="15.75" x14ac:dyDescent="0.25">
      <c r="A55" s="11" t="s">
        <v>31</v>
      </c>
      <c r="D55" s="246" t="str">
        <f>IF(COUNT(B37:F37)&lt;2,"?",IF(STDEV(B39:F39)=0,0,FIXED(2*D53/AVERAGE(B39:F39)*100,K22-1-INT(LOG(ABS(2*D53/AVERAGE(B39:F39)*100))),TRUE)))</f>
        <v>?</v>
      </c>
      <c r="E55" s="12" t="s">
        <v>30</v>
      </c>
    </row>
    <row r="56" spans="1:13" ht="15" customHeight="1" x14ac:dyDescent="0.25">
      <c r="D56" s="78" t="str">
        <f>IF(D54="k.A.*","keine Angabe, da nicht als signifikant ermittelt","")</f>
        <v/>
      </c>
    </row>
    <row r="57" spans="1:13" ht="12.75" customHeight="1" x14ac:dyDescent="0.25">
      <c r="A57" s="19"/>
    </row>
    <row r="59" spans="1:13" x14ac:dyDescent="0.25">
      <c r="A59" s="13" t="s">
        <v>34</v>
      </c>
      <c r="B59" s="13"/>
      <c r="C59" s="93"/>
    </row>
    <row r="61" spans="1:13" x14ac:dyDescent="0.25">
      <c r="C61" s="93"/>
    </row>
    <row r="62" spans="1:13" x14ac:dyDescent="0.25">
      <c r="C62" s="93"/>
    </row>
  </sheetData>
  <sheetProtection sheet="1" objects="1" scenarios="1"/>
  <mergeCells count="8">
    <mergeCell ref="C21:F21"/>
    <mergeCell ref="C22:D22"/>
    <mergeCell ref="C15:F15"/>
    <mergeCell ref="C16:F16"/>
    <mergeCell ref="C17:F17"/>
    <mergeCell ref="C18:F18"/>
    <mergeCell ref="C19:F19"/>
    <mergeCell ref="C20:F20"/>
  </mergeCells>
  <conditionalFormatting sqref="I26:M35">
    <cfRule type="cellIs" dxfId="0" priority="1" operator="equal">
      <formula>"x"</formula>
    </cfRule>
  </conditionalFormatting>
  <pageMargins left="0.70866141732283472" right="0.70866141732283472" top="0.78740157480314965" bottom="0.78740157480314965" header="0.31496062992125984" footer="0.31496062992125984"/>
  <pageSetup paperSize="9" orientation="portrait" horizontalDpi="300" verticalDpi="300" r:id="rId1"/>
  <headerFooter>
    <oddHeader>&amp;L&amp;"-,Fett"&amp;12&amp;UErmittlung der Unsicherheit einer Probenahme</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activeCell="L2" sqref="L2"/>
    </sheetView>
  </sheetViews>
  <sheetFormatPr baseColWidth="10" defaultRowHeight="15" x14ac:dyDescent="0.25"/>
  <cols>
    <col min="1" max="1" width="25.7109375" style="2" customWidth="1"/>
    <col min="2" max="2" width="13.7109375" style="2" customWidth="1"/>
    <col min="3" max="7" width="11.42578125" style="2"/>
    <col min="8" max="10" width="11.7109375" style="2" customWidth="1"/>
    <col min="11" max="11" width="4.7109375" style="2" customWidth="1"/>
    <col min="12" max="12" width="20.7109375" style="2" customWidth="1"/>
    <col min="13" max="16384" width="11.42578125" style="2"/>
  </cols>
  <sheetData>
    <row r="1" spans="1:12" ht="18.75" x14ac:dyDescent="0.3">
      <c r="A1" s="99" t="s">
        <v>99</v>
      </c>
      <c r="L1" s="18" t="e">
        <f>#REF!</f>
        <v>#REF!</v>
      </c>
    </row>
    <row r="2" spans="1:12" ht="21" customHeight="1" x14ac:dyDescent="0.25">
      <c r="A2" s="2" t="s">
        <v>102</v>
      </c>
    </row>
    <row r="3" spans="1:12" x14ac:dyDescent="0.25">
      <c r="A3" s="2" t="s">
        <v>100</v>
      </c>
    </row>
    <row r="4" spans="1:12" x14ac:dyDescent="0.25">
      <c r="A4" s="2" t="s">
        <v>101</v>
      </c>
    </row>
    <row r="5" spans="1:12" x14ac:dyDescent="0.25">
      <c r="A5" s="11" t="s">
        <v>139</v>
      </c>
    </row>
    <row r="7" spans="1:12" s="77" customFormat="1" x14ac:dyDescent="0.25">
      <c r="A7" s="80"/>
      <c r="B7" s="81"/>
      <c r="C7" s="82" t="s">
        <v>93</v>
      </c>
      <c r="D7" s="82"/>
      <c r="E7" s="82"/>
      <c r="F7" s="82"/>
      <c r="G7" s="83"/>
      <c r="H7" s="84"/>
      <c r="I7" s="84"/>
      <c r="J7" s="80"/>
      <c r="K7" s="192" t="s">
        <v>142</v>
      </c>
    </row>
    <row r="8" spans="1:12" ht="18" x14ac:dyDescent="0.25">
      <c r="A8" s="85" t="s">
        <v>91</v>
      </c>
      <c r="B8" s="86" t="s">
        <v>92</v>
      </c>
      <c r="C8" s="87" t="s">
        <v>3</v>
      </c>
      <c r="D8" s="88" t="s">
        <v>4</v>
      </c>
      <c r="E8" s="88" t="s">
        <v>5</v>
      </c>
      <c r="F8" s="88" t="s">
        <v>25</v>
      </c>
      <c r="G8" s="89" t="s">
        <v>26</v>
      </c>
      <c r="H8" s="90" t="s">
        <v>97</v>
      </c>
      <c r="I8" s="90" t="s">
        <v>98</v>
      </c>
      <c r="J8" s="91" t="s">
        <v>136</v>
      </c>
      <c r="K8" s="137" t="s">
        <v>141</v>
      </c>
    </row>
    <row r="9" spans="1:12" x14ac:dyDescent="0.25">
      <c r="A9" s="17"/>
      <c r="B9" s="193"/>
      <c r="C9" s="95"/>
      <c r="D9" s="17"/>
      <c r="E9" s="17"/>
      <c r="F9" s="17"/>
      <c r="G9" s="94"/>
      <c r="H9" s="92" t="str">
        <f>IF(COUNT(C9:G9)&lt;2,"?",STDEV(C9:G9))</f>
        <v>?</v>
      </c>
      <c r="I9" s="5" t="str">
        <f>IF(COUNT(C9:G9)&lt;2,"?",2*STDEV(C9:G9))</f>
        <v>?</v>
      </c>
      <c r="J9" s="101" t="str">
        <f>IF(COUNT(C9:G9)&lt;2,"?",2*STDEV(C9:G9)/AVERAGE(C9:G9)*100)</f>
        <v>?</v>
      </c>
      <c r="K9" s="194" t="str">
        <f>IF(ISTEXT(J9),"",IF(COUNT(J$9:J$18)&lt;3,"?",IF(AND(((J9-MEDIAN(J$9:J$18))/STDEV(J$9:J$18))&lt;((COUNT(J$9:J$18)-1)/SQRT(COUNT(J$9:J$18))*SQRT(TINV(((100-95)/100)/(COUNT(J$9:J$18)/2),COUNT(J$9:J$18)-2)^2/(COUNT(J$9:J$18)-2+TINV(((100-95)/100)/(COUNT(J$9:J$18)/2),COUNT(J$9:J$18)-2)^2))),(-((J9-MEDIAN(J$9:J$18))/STDEV(J$9:J$18))&lt;((COUNT(J$9:J$18)-1)/SQRT(COUNT(J$9:J$18))*SQRT(TINV(((100-95)/100)/(COUNT(J$9:J$18)/2),COUNT(J$9:J$18)-2)^2/(COUNT(J$9:J$18)-2+TINV(((100-95)/100)/(COUNT(J$9:J$18)/2),COUNT(J$9:J$18)-2)^2))))),"","  x")))</f>
        <v/>
      </c>
      <c r="L9" s="195"/>
    </row>
    <row r="10" spans="1:12" x14ac:dyDescent="0.25">
      <c r="A10" s="17"/>
      <c r="B10" s="193"/>
      <c r="C10" s="95"/>
      <c r="D10" s="17"/>
      <c r="E10" s="17"/>
      <c r="F10" s="17"/>
      <c r="G10" s="94"/>
      <c r="H10" s="92" t="str">
        <f t="shared" ref="H10:H18" si="0">IF(COUNT(C10:G10)&lt;2,"?",STDEV(C10:G10))</f>
        <v>?</v>
      </c>
      <c r="I10" s="5" t="str">
        <f t="shared" ref="I10:I18" si="1">IF(COUNT(C10:G10)&lt;2,"?",2*STDEV(C10:G10))</f>
        <v>?</v>
      </c>
      <c r="J10" s="101" t="str">
        <f t="shared" ref="J10:J18" si="2">IF(COUNT(C10:G10)&lt;2,"?",2*STDEV(C10:G10)/AVERAGE(C10:G10)*100)</f>
        <v>?</v>
      </c>
      <c r="K10" s="194" t="str">
        <f t="shared" ref="K10:K18" si="3">IF(ISTEXT(J10),"",IF(COUNT(J$9:J$18)&lt;3,"?",IF(AND(((J10-MEDIAN(J$9:J$18))/STDEV(J$9:J$18))&lt;((COUNT(J$9:J$18)-1)/SQRT(COUNT(J$9:J$18))*SQRT(TINV(((100-95)/100)/(COUNT(J$9:J$18)/2),COUNT(J$9:J$18)-2)^2/(COUNT(J$9:J$18)-2+TINV(((100-95)/100)/(COUNT(J$9:J$18)/2),COUNT(J$9:J$18)-2)^2))),(-((J10-MEDIAN(J$9:J$18))/STDEV(J$9:J$18))&lt;((COUNT(J$9:J$18)-1)/SQRT(COUNT(J$9:J$18))*SQRT(TINV(((100-95)/100)/(COUNT(J$9:J$18)/2),COUNT(J$9:J$18)-2)^2/(COUNT(J$9:J$18)-2+TINV(((100-95)/100)/(COUNT(J$9:J$18)/2),COUNT(J$9:J$18)-2)^2))))),"","  x")))</f>
        <v/>
      </c>
      <c r="L10" s="195"/>
    </row>
    <row r="11" spans="1:12" x14ac:dyDescent="0.25">
      <c r="A11" s="17"/>
      <c r="B11" s="193"/>
      <c r="C11" s="95"/>
      <c r="D11" s="17"/>
      <c r="E11" s="17"/>
      <c r="F11" s="17"/>
      <c r="G11" s="94"/>
      <c r="H11" s="92" t="str">
        <f t="shared" si="0"/>
        <v>?</v>
      </c>
      <c r="I11" s="5" t="str">
        <f t="shared" si="1"/>
        <v>?</v>
      </c>
      <c r="J11" s="101" t="str">
        <f t="shared" si="2"/>
        <v>?</v>
      </c>
      <c r="K11" s="194" t="str">
        <f t="shared" si="3"/>
        <v/>
      </c>
      <c r="L11" s="195"/>
    </row>
    <row r="12" spans="1:12" x14ac:dyDescent="0.25">
      <c r="A12" s="17"/>
      <c r="B12" s="193"/>
      <c r="C12" s="95"/>
      <c r="D12" s="17"/>
      <c r="E12" s="17"/>
      <c r="F12" s="17"/>
      <c r="G12" s="94"/>
      <c r="H12" s="92" t="str">
        <f t="shared" si="0"/>
        <v>?</v>
      </c>
      <c r="I12" s="5" t="str">
        <f t="shared" si="1"/>
        <v>?</v>
      </c>
      <c r="J12" s="101" t="str">
        <f t="shared" si="2"/>
        <v>?</v>
      </c>
      <c r="K12" s="194" t="str">
        <f t="shared" si="3"/>
        <v/>
      </c>
      <c r="L12" s="195"/>
    </row>
    <row r="13" spans="1:12" x14ac:dyDescent="0.25">
      <c r="A13" s="17"/>
      <c r="B13" s="193"/>
      <c r="C13" s="95"/>
      <c r="D13" s="17"/>
      <c r="E13" s="17"/>
      <c r="F13" s="17"/>
      <c r="G13" s="94"/>
      <c r="H13" s="92" t="str">
        <f t="shared" si="0"/>
        <v>?</v>
      </c>
      <c r="I13" s="5" t="str">
        <f t="shared" si="1"/>
        <v>?</v>
      </c>
      <c r="J13" s="101" t="str">
        <f t="shared" si="2"/>
        <v>?</v>
      </c>
      <c r="K13" s="194" t="str">
        <f t="shared" si="3"/>
        <v/>
      </c>
      <c r="L13" s="195"/>
    </row>
    <row r="14" spans="1:12" x14ac:dyDescent="0.25">
      <c r="A14" s="17"/>
      <c r="B14" s="193"/>
      <c r="C14" s="95"/>
      <c r="D14" s="17"/>
      <c r="E14" s="17"/>
      <c r="F14" s="17"/>
      <c r="G14" s="94"/>
      <c r="H14" s="92" t="str">
        <f t="shared" si="0"/>
        <v>?</v>
      </c>
      <c r="I14" s="5" t="str">
        <f t="shared" si="1"/>
        <v>?</v>
      </c>
      <c r="J14" s="101" t="str">
        <f t="shared" si="2"/>
        <v>?</v>
      </c>
      <c r="K14" s="194" t="str">
        <f t="shared" si="3"/>
        <v/>
      </c>
      <c r="L14" s="195"/>
    </row>
    <row r="15" spans="1:12" x14ac:dyDescent="0.25">
      <c r="A15" s="17"/>
      <c r="B15" s="94"/>
      <c r="C15" s="95"/>
      <c r="D15" s="17"/>
      <c r="E15" s="17"/>
      <c r="F15" s="17"/>
      <c r="G15" s="94"/>
      <c r="H15" s="92" t="str">
        <f t="shared" si="0"/>
        <v>?</v>
      </c>
      <c r="I15" s="5" t="str">
        <f t="shared" si="1"/>
        <v>?</v>
      </c>
      <c r="J15" s="101" t="str">
        <f t="shared" si="2"/>
        <v>?</v>
      </c>
      <c r="K15" s="194" t="str">
        <f t="shared" si="3"/>
        <v/>
      </c>
      <c r="L15" s="195"/>
    </row>
    <row r="16" spans="1:12" x14ac:dyDescent="0.25">
      <c r="A16" s="17"/>
      <c r="B16" s="94"/>
      <c r="C16" s="95"/>
      <c r="D16" s="17"/>
      <c r="E16" s="17"/>
      <c r="F16" s="17"/>
      <c r="G16" s="94"/>
      <c r="H16" s="92" t="str">
        <f t="shared" si="0"/>
        <v>?</v>
      </c>
      <c r="I16" s="5" t="str">
        <f t="shared" si="1"/>
        <v>?</v>
      </c>
      <c r="J16" s="101" t="str">
        <f t="shared" si="2"/>
        <v>?</v>
      </c>
      <c r="K16" s="194" t="str">
        <f t="shared" si="3"/>
        <v/>
      </c>
      <c r="L16" s="195"/>
    </row>
    <row r="17" spans="1:12" x14ac:dyDescent="0.25">
      <c r="A17" s="17"/>
      <c r="B17" s="94"/>
      <c r="C17" s="95"/>
      <c r="D17" s="17"/>
      <c r="E17" s="17"/>
      <c r="F17" s="17"/>
      <c r="G17" s="94"/>
      <c r="H17" s="92" t="str">
        <f t="shared" si="0"/>
        <v>?</v>
      </c>
      <c r="I17" s="5" t="str">
        <f t="shared" si="1"/>
        <v>?</v>
      </c>
      <c r="J17" s="101" t="str">
        <f t="shared" si="2"/>
        <v>?</v>
      </c>
      <c r="K17" s="194" t="str">
        <f t="shared" si="3"/>
        <v/>
      </c>
      <c r="L17" s="195"/>
    </row>
    <row r="18" spans="1:12" ht="15.75" thickBot="1" x14ac:dyDescent="0.3">
      <c r="A18" s="96"/>
      <c r="B18" s="97"/>
      <c r="C18" s="98"/>
      <c r="D18" s="96"/>
      <c r="E18" s="96"/>
      <c r="F18" s="96"/>
      <c r="G18" s="97"/>
      <c r="H18" s="141" t="str">
        <f t="shared" si="0"/>
        <v>?</v>
      </c>
      <c r="I18" s="3" t="str">
        <f t="shared" si="1"/>
        <v>?</v>
      </c>
      <c r="J18" s="102" t="str">
        <f t="shared" si="2"/>
        <v>?</v>
      </c>
      <c r="K18" s="194" t="str">
        <f t="shared" si="3"/>
        <v/>
      </c>
      <c r="L18" s="195"/>
    </row>
    <row r="19" spans="1:12" x14ac:dyDescent="0.25">
      <c r="A19" s="196" t="s">
        <v>175</v>
      </c>
      <c r="J19" s="138" t="s">
        <v>143</v>
      </c>
      <c r="K19" s="139" t="str">
        <f>IF(COUNT(J$9:J$18)&lt;2,"?",MEDIAN(J9:J18))</f>
        <v>?</v>
      </c>
    </row>
    <row r="20" spans="1:12" ht="21" customHeight="1" thickBot="1" x14ac:dyDescent="0.3">
      <c r="I20" s="93" t="s">
        <v>137</v>
      </c>
      <c r="J20" s="132" t="str">
        <f>IF(COUNT(J9:J18)&lt;2,"?",IF(ISERROR(AVERAGE(J9:J18)),"?",FIXED(AVERAGE(J9:J18),1)&amp;" (± "&amp;FIXED(STDEV(J9:J18)*TINV((100-95)/100,(COUNT(J9:J18)-1))/SQRT(COUNT(J9:J18)),0)&amp;") %"))</f>
        <v>?</v>
      </c>
    </row>
    <row r="21" spans="1:12" ht="21" customHeight="1" thickTop="1" x14ac:dyDescent="0.25">
      <c r="H21" s="93"/>
      <c r="I21" s="93" t="str">
        <f>IF(COUNT(J9:J18)&lt;2,"","Gemäß vorliegenden Daten entspricht dieses einem Erwartungsbereich der Unsicherheit der Probenahme, von "&amp;ROUND(AVERAGE(J9:J18)-STDEV(J9:J18)*TINV((100-95)/100,(COUNT(J9:J18)-1))/SQRT(COUNT(J9:J18)),0)&amp;" %  bis")</f>
        <v/>
      </c>
      <c r="J21" s="2" t="str">
        <f>IF(COUNT(J9:J18)&lt;2,"?",IF(COUNT(J9:J18)&lt;2,"",ROUND(AVERAGE(J9:J18)+STDEV(J9:J18)*TINV((100-95)/100,(COUNT(J9:J18)-1))/SQRT(COUNT(J9:J18)),0)&amp;" %"))</f>
        <v>?</v>
      </c>
      <c r="K21" s="19" t="str">
        <f>IF(COUNT(J9:J18)&lt;2,"",IF(ROUND(AVERAGE(J9:J18)-STDEV(J9:J18)*TINV((100-95)/100,(COUNT(J9:J18)-1))/SQRT(COUNT(J9:J18)),0)&lt;0,"fragwürdig; Toleranzbereich geht in Negative!",""))</f>
        <v/>
      </c>
    </row>
    <row r="22" spans="1:12" ht="25.5" customHeight="1" x14ac:dyDescent="0.25">
      <c r="A22" s="197" t="s">
        <v>176</v>
      </c>
    </row>
    <row r="23" spans="1:12" ht="15" customHeight="1" x14ac:dyDescent="0.25">
      <c r="A23" s="254"/>
      <c r="B23" s="254"/>
      <c r="C23" s="254"/>
      <c r="D23" s="254"/>
      <c r="E23" s="254"/>
      <c r="F23" s="254"/>
      <c r="G23" s="254"/>
      <c r="H23" s="254"/>
      <c r="I23" s="254"/>
      <c r="J23" s="254"/>
      <c r="K23" s="254"/>
      <c r="L23" s="254"/>
    </row>
    <row r="24" spans="1:12" ht="15" customHeight="1" x14ac:dyDescent="0.25">
      <c r="A24" s="254"/>
      <c r="B24" s="254"/>
      <c r="C24" s="254"/>
      <c r="D24" s="254"/>
      <c r="E24" s="254"/>
      <c r="F24" s="254"/>
      <c r="G24" s="254"/>
      <c r="H24" s="254"/>
      <c r="I24" s="254"/>
      <c r="J24" s="254"/>
      <c r="K24" s="254"/>
      <c r="L24" s="254"/>
    </row>
    <row r="25" spans="1:12" x14ac:dyDescent="0.25">
      <c r="A25" s="254"/>
      <c r="B25" s="254"/>
      <c r="C25" s="254"/>
      <c r="D25" s="254"/>
      <c r="E25" s="254"/>
      <c r="F25" s="254"/>
      <c r="G25" s="254"/>
      <c r="H25" s="254"/>
      <c r="I25" s="254"/>
      <c r="J25" s="254"/>
      <c r="K25" s="254"/>
      <c r="L25" s="254"/>
    </row>
    <row r="26" spans="1:12" x14ac:dyDescent="0.25">
      <c r="A26" s="254"/>
      <c r="B26" s="254"/>
      <c r="C26" s="254"/>
      <c r="D26" s="254"/>
      <c r="E26" s="254"/>
      <c r="F26" s="254"/>
      <c r="G26" s="254"/>
      <c r="H26" s="254"/>
      <c r="I26" s="254"/>
      <c r="J26" s="254"/>
      <c r="K26" s="254"/>
      <c r="L26" s="254"/>
    </row>
    <row r="27" spans="1:12" x14ac:dyDescent="0.25">
      <c r="A27" s="254"/>
      <c r="B27" s="254"/>
      <c r="C27" s="254"/>
      <c r="D27" s="254"/>
      <c r="E27" s="254"/>
      <c r="F27" s="254"/>
      <c r="G27" s="254"/>
      <c r="H27" s="254"/>
      <c r="I27" s="254"/>
      <c r="J27" s="254"/>
      <c r="K27" s="254"/>
      <c r="L27" s="254"/>
    </row>
    <row r="28" spans="1:12" x14ac:dyDescent="0.25">
      <c r="A28" s="254"/>
      <c r="B28" s="254"/>
      <c r="C28" s="254"/>
      <c r="D28" s="254"/>
      <c r="E28" s="254"/>
      <c r="F28" s="254"/>
      <c r="G28" s="254"/>
      <c r="H28" s="254"/>
      <c r="I28" s="254"/>
      <c r="J28" s="254"/>
      <c r="K28" s="254"/>
      <c r="L28" s="254"/>
    </row>
    <row r="29" spans="1:12" x14ac:dyDescent="0.25">
      <c r="A29" s="254"/>
      <c r="B29" s="254"/>
      <c r="C29" s="254"/>
      <c r="D29" s="254"/>
      <c r="E29" s="254"/>
      <c r="F29" s="254"/>
      <c r="G29" s="254"/>
      <c r="H29" s="254"/>
      <c r="I29" s="254"/>
      <c r="J29" s="254"/>
      <c r="K29" s="254"/>
      <c r="L29" s="254"/>
    </row>
    <row r="30" spans="1:12" x14ac:dyDescent="0.25">
      <c r="A30" s="254"/>
      <c r="B30" s="254"/>
      <c r="C30" s="254"/>
      <c r="D30" s="254"/>
      <c r="E30" s="254"/>
      <c r="F30" s="254"/>
      <c r="G30" s="254"/>
      <c r="H30" s="254"/>
      <c r="I30" s="254"/>
      <c r="J30" s="254"/>
      <c r="K30" s="254"/>
      <c r="L30" s="254"/>
    </row>
    <row r="31" spans="1:12" x14ac:dyDescent="0.25">
      <c r="A31" s="254"/>
      <c r="B31" s="254"/>
      <c r="C31" s="254"/>
      <c r="D31" s="254"/>
      <c r="E31" s="254"/>
      <c r="F31" s="254"/>
      <c r="G31" s="254"/>
      <c r="H31" s="254"/>
      <c r="I31" s="254"/>
      <c r="J31" s="254"/>
      <c r="K31" s="254"/>
      <c r="L31" s="254"/>
    </row>
    <row r="32" spans="1:12" x14ac:dyDescent="0.25">
      <c r="A32" s="254"/>
      <c r="B32" s="254"/>
      <c r="C32" s="254"/>
      <c r="D32" s="254"/>
      <c r="E32" s="254"/>
      <c r="F32" s="254"/>
      <c r="G32" s="254"/>
      <c r="H32" s="254"/>
      <c r="I32" s="254"/>
      <c r="J32" s="254"/>
      <c r="K32" s="254"/>
      <c r="L32" s="254"/>
    </row>
  </sheetData>
  <sheetProtection sheet="1" objects="1" scenarios="1"/>
  <mergeCells count="10">
    <mergeCell ref="A29:L29"/>
    <mergeCell ref="A30:L30"/>
    <mergeCell ref="A31:L31"/>
    <mergeCell ref="A32:L32"/>
    <mergeCell ref="A23:L23"/>
    <mergeCell ref="A24:L24"/>
    <mergeCell ref="A25:L25"/>
    <mergeCell ref="A26:L26"/>
    <mergeCell ref="A27:L27"/>
    <mergeCell ref="A28:L28"/>
  </mergeCells>
  <pageMargins left="0.19685039370078741" right="0.19685039370078741" top="0.78740157480314965" bottom="0.78740157480314965" header="0.31496062992125984" footer="0.31496062992125984"/>
  <pageSetup paperSize="9" scale="92"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3"/>
  <sheetViews>
    <sheetView workbookViewId="0">
      <selection activeCell="D3" sqref="D3"/>
    </sheetView>
  </sheetViews>
  <sheetFormatPr baseColWidth="10" defaultRowHeight="15" x14ac:dyDescent="0.25"/>
  <cols>
    <col min="1" max="8" width="13.7109375" style="26" customWidth="1"/>
    <col min="9" max="13" width="12.7109375" style="26" customWidth="1"/>
    <col min="14" max="14" width="2.7109375" style="26" customWidth="1"/>
    <col min="15" max="15" width="12.7109375" style="26" customWidth="1"/>
    <col min="16" max="17" width="14.7109375" style="26" customWidth="1"/>
    <col min="18" max="18" width="12.7109375" style="26" customWidth="1"/>
    <col min="19" max="16384" width="11.42578125" style="26"/>
  </cols>
  <sheetData>
    <row r="1" spans="1:8" x14ac:dyDescent="0.25">
      <c r="A1" s="25" t="s">
        <v>0</v>
      </c>
      <c r="F1" s="27" t="s">
        <v>202</v>
      </c>
    </row>
    <row r="2" spans="1:8" ht="16.5" customHeight="1" x14ac:dyDescent="0.25">
      <c r="A2" s="26" t="s">
        <v>39</v>
      </c>
    </row>
    <row r="3" spans="1:8" ht="12.75" customHeight="1" x14ac:dyDescent="0.25">
      <c r="A3" s="26" t="s">
        <v>48</v>
      </c>
    </row>
    <row r="4" spans="1:8" ht="12.75" customHeight="1" x14ac:dyDescent="0.25">
      <c r="A4" s="26" t="s">
        <v>40</v>
      </c>
    </row>
    <row r="5" spans="1:8" ht="12.75" customHeight="1" x14ac:dyDescent="0.25">
      <c r="A5" s="26" t="s">
        <v>41</v>
      </c>
    </row>
    <row r="6" spans="1:8" ht="12.75" customHeight="1" x14ac:dyDescent="0.25">
      <c r="A6" s="26" t="s">
        <v>42</v>
      </c>
    </row>
    <row r="7" spans="1:8" ht="21" customHeight="1" x14ac:dyDescent="0.25">
      <c r="A7" s="25" t="s">
        <v>33</v>
      </c>
    </row>
    <row r="8" spans="1:8" ht="16.5" customHeight="1" x14ac:dyDescent="0.25">
      <c r="A8" s="26" t="s">
        <v>45</v>
      </c>
      <c r="D8" s="28"/>
    </row>
    <row r="9" spans="1:8" ht="12.75" customHeight="1" x14ac:dyDescent="0.25">
      <c r="A9" s="26" t="s">
        <v>47</v>
      </c>
    </row>
    <row r="10" spans="1:8" ht="14.25" customHeight="1" x14ac:dyDescent="0.35">
      <c r="A10" s="26" t="s">
        <v>46</v>
      </c>
    </row>
    <row r="11" spans="1:8" ht="21" customHeight="1" x14ac:dyDescent="0.25">
      <c r="A11" s="25" t="s">
        <v>1</v>
      </c>
    </row>
    <row r="12" spans="1:8" ht="16.5" customHeight="1" x14ac:dyDescent="0.25">
      <c r="A12" s="26" t="s">
        <v>43</v>
      </c>
    </row>
    <row r="13" spans="1:8" ht="12.75" customHeight="1" x14ac:dyDescent="0.25">
      <c r="A13" s="26" t="s">
        <v>44</v>
      </c>
    </row>
    <row r="14" spans="1:8" ht="12.75" customHeight="1" x14ac:dyDescent="0.25">
      <c r="A14" s="29" t="s">
        <v>35</v>
      </c>
    </row>
    <row r="15" spans="1:8" ht="21" customHeight="1" x14ac:dyDescent="0.25">
      <c r="A15" s="25" t="s">
        <v>6</v>
      </c>
      <c r="C15" s="259" t="s">
        <v>79</v>
      </c>
      <c r="D15" s="259"/>
      <c r="E15" s="259"/>
      <c r="F15" s="259"/>
      <c r="H15" s="30"/>
    </row>
    <row r="16" spans="1:8" ht="18" customHeight="1" x14ac:dyDescent="0.25">
      <c r="A16" s="26" t="s">
        <v>7</v>
      </c>
      <c r="C16" s="31" t="s">
        <v>90</v>
      </c>
      <c r="H16" s="30"/>
    </row>
    <row r="17" spans="1:18" ht="18" customHeight="1" x14ac:dyDescent="0.25">
      <c r="A17" s="32" t="s">
        <v>8</v>
      </c>
      <c r="C17" s="260" t="s">
        <v>80</v>
      </c>
      <c r="D17" s="260"/>
      <c r="E17" s="260"/>
      <c r="F17" s="260"/>
      <c r="H17" s="30"/>
    </row>
    <row r="18" spans="1:18" ht="18" customHeight="1" x14ac:dyDescent="0.25">
      <c r="A18" s="26" t="s">
        <v>78</v>
      </c>
      <c r="C18" s="263" t="s">
        <v>73</v>
      </c>
      <c r="D18" s="263"/>
      <c r="E18" s="263"/>
      <c r="F18" s="263"/>
      <c r="H18" s="30"/>
    </row>
    <row r="19" spans="1:18" ht="15" customHeight="1" x14ac:dyDescent="0.25">
      <c r="C19" s="33" t="s">
        <v>74</v>
      </c>
      <c r="D19" s="33"/>
      <c r="E19" s="33"/>
      <c r="F19" s="33"/>
      <c r="H19" s="30"/>
    </row>
    <row r="20" spans="1:18" ht="24" customHeight="1" x14ac:dyDescent="0.25">
      <c r="A20" s="25" t="s">
        <v>77</v>
      </c>
      <c r="C20" s="260" t="s">
        <v>76</v>
      </c>
      <c r="D20" s="260"/>
      <c r="E20" s="260"/>
      <c r="F20" s="260"/>
      <c r="H20" s="30"/>
    </row>
    <row r="21" spans="1:18" ht="18" customHeight="1" x14ac:dyDescent="0.25">
      <c r="A21" s="26" t="s">
        <v>9</v>
      </c>
      <c r="C21" s="260" t="s">
        <v>75</v>
      </c>
      <c r="D21" s="260"/>
      <c r="E21" s="260"/>
      <c r="F21" s="260"/>
      <c r="H21" s="34" t="s">
        <v>29</v>
      </c>
    </row>
    <row r="22" spans="1:18" ht="18" customHeight="1" x14ac:dyDescent="0.25">
      <c r="A22" s="26" t="s">
        <v>10</v>
      </c>
      <c r="C22" s="260"/>
      <c r="D22" s="260"/>
      <c r="E22" s="35"/>
      <c r="G22" s="35"/>
      <c r="H22" s="36" t="s">
        <v>36</v>
      </c>
      <c r="I22" s="37">
        <v>5</v>
      </c>
    </row>
    <row r="23" spans="1:18" ht="18" customHeight="1" x14ac:dyDescent="0.25">
      <c r="C23" s="35"/>
      <c r="D23" s="35"/>
      <c r="E23" s="35"/>
      <c r="G23" s="35"/>
      <c r="H23" s="36" t="s">
        <v>37</v>
      </c>
      <c r="I23" s="37">
        <v>5</v>
      </c>
    </row>
    <row r="24" spans="1:18" ht="20.25" customHeight="1" x14ac:dyDescent="0.25">
      <c r="A24" s="25" t="s">
        <v>2</v>
      </c>
    </row>
    <row r="25" spans="1:18" ht="13.5" customHeight="1" thickBot="1" x14ac:dyDescent="0.3">
      <c r="A25" s="38"/>
      <c r="B25" s="38" t="s">
        <v>3</v>
      </c>
      <c r="C25" s="38" t="s">
        <v>4</v>
      </c>
      <c r="D25" s="38" t="s">
        <v>5</v>
      </c>
      <c r="E25" s="38" t="s">
        <v>25</v>
      </c>
      <c r="F25" s="38" t="s">
        <v>26</v>
      </c>
      <c r="H25" s="39" t="s">
        <v>49</v>
      </c>
      <c r="I25" s="40"/>
      <c r="J25" s="40"/>
      <c r="K25" s="40"/>
      <c r="L25" s="40"/>
      <c r="M25" s="40"/>
      <c r="N25" s="40"/>
      <c r="O25" s="40"/>
      <c r="P25" s="40"/>
      <c r="Q25" s="40"/>
      <c r="R25" s="40"/>
    </row>
    <row r="26" spans="1:18" ht="13.5" customHeight="1" x14ac:dyDescent="0.25">
      <c r="A26" s="41" t="s">
        <v>11</v>
      </c>
      <c r="B26" s="41">
        <v>10</v>
      </c>
      <c r="C26" s="41">
        <v>13.2</v>
      </c>
      <c r="D26" s="41">
        <v>9.5</v>
      </c>
      <c r="E26" s="41">
        <v>10.8</v>
      </c>
      <c r="F26" s="41">
        <v>12.7</v>
      </c>
      <c r="H26" s="40" t="s">
        <v>57</v>
      </c>
      <c r="I26" s="40"/>
      <c r="J26" s="40"/>
      <c r="K26" s="40"/>
      <c r="L26" s="40"/>
      <c r="M26" s="40"/>
      <c r="N26" s="40"/>
      <c r="O26" s="40"/>
      <c r="P26" s="40"/>
      <c r="Q26" s="40"/>
      <c r="R26" s="40"/>
    </row>
    <row r="27" spans="1:18" ht="13.5" customHeight="1" x14ac:dyDescent="0.25">
      <c r="A27" s="42" t="s">
        <v>12</v>
      </c>
      <c r="B27" s="42">
        <v>10.79</v>
      </c>
      <c r="C27" s="42">
        <v>14.12</v>
      </c>
      <c r="D27" s="42">
        <v>10.44</v>
      </c>
      <c r="E27" s="42">
        <v>11.43</v>
      </c>
      <c r="F27" s="42">
        <v>12.81</v>
      </c>
      <c r="H27" s="40" t="s">
        <v>50</v>
      </c>
      <c r="I27" s="40"/>
      <c r="J27" s="40"/>
      <c r="K27" s="40"/>
      <c r="L27" s="40"/>
      <c r="M27" s="40"/>
      <c r="N27" s="40"/>
      <c r="O27" s="40"/>
      <c r="P27" s="40"/>
      <c r="Q27" s="40"/>
      <c r="R27" s="40"/>
    </row>
    <row r="28" spans="1:18" ht="13.5" customHeight="1" x14ac:dyDescent="0.25">
      <c r="A28" s="42" t="s">
        <v>13</v>
      </c>
      <c r="B28" s="42">
        <v>10.07</v>
      </c>
      <c r="C28" s="42">
        <v>13.88</v>
      </c>
      <c r="D28" s="42">
        <v>9.7200000000000006</v>
      </c>
      <c r="E28" s="42">
        <v>11.43</v>
      </c>
      <c r="F28" s="42">
        <v>13.36</v>
      </c>
      <c r="H28" s="40"/>
      <c r="I28" s="43" t="s">
        <v>64</v>
      </c>
      <c r="J28" s="44"/>
      <c r="K28" s="43" t="s">
        <v>66</v>
      </c>
      <c r="L28" s="44"/>
      <c r="M28" s="40"/>
      <c r="N28" s="40"/>
      <c r="O28" s="40"/>
      <c r="P28" s="40"/>
      <c r="Q28" s="40"/>
      <c r="R28" s="40"/>
    </row>
    <row r="29" spans="1:18" ht="13.5" customHeight="1" x14ac:dyDescent="0.25">
      <c r="A29" s="42" t="s">
        <v>14</v>
      </c>
      <c r="B29" s="42">
        <v>10.72</v>
      </c>
      <c r="C29" s="42">
        <v>13.73</v>
      </c>
      <c r="D29" s="42">
        <v>10.47</v>
      </c>
      <c r="E29" s="42">
        <v>11.72</v>
      </c>
      <c r="F29" s="42">
        <v>13.63</v>
      </c>
      <c r="H29" s="40"/>
      <c r="I29" s="45" t="s">
        <v>65</v>
      </c>
      <c r="J29" s="46"/>
      <c r="K29" s="45" t="s">
        <v>67</v>
      </c>
      <c r="L29" s="46"/>
      <c r="M29" s="40"/>
      <c r="N29" s="40"/>
      <c r="O29" s="40"/>
      <c r="P29" s="40"/>
      <c r="Q29" s="40"/>
      <c r="R29" s="40"/>
    </row>
    <row r="30" spans="1:18" ht="13.5" customHeight="1" x14ac:dyDescent="0.25">
      <c r="A30" s="42" t="s">
        <v>15</v>
      </c>
      <c r="B30" s="42">
        <v>10.62</v>
      </c>
      <c r="C30" s="42">
        <v>13.53</v>
      </c>
      <c r="D30" s="42">
        <v>10.23</v>
      </c>
      <c r="E30" s="42">
        <v>11.37</v>
      </c>
      <c r="F30" s="42">
        <v>13.48</v>
      </c>
      <c r="H30" s="47"/>
      <c r="I30" s="48" t="s">
        <v>51</v>
      </c>
      <c r="J30" s="48" t="s">
        <v>55</v>
      </c>
      <c r="K30" s="48" t="s">
        <v>51</v>
      </c>
      <c r="L30" s="48" t="s">
        <v>55</v>
      </c>
      <c r="M30" s="47"/>
      <c r="N30" s="40"/>
      <c r="O30" s="47"/>
      <c r="P30" s="48" t="s">
        <v>51</v>
      </c>
      <c r="Q30" s="48" t="s">
        <v>53</v>
      </c>
      <c r="R30" s="47"/>
    </row>
    <row r="31" spans="1:18" ht="13.5" customHeight="1" x14ac:dyDescent="0.25">
      <c r="A31" s="42" t="s">
        <v>16</v>
      </c>
      <c r="B31" s="42">
        <v>10.19</v>
      </c>
      <c r="C31" s="42">
        <v>13.54</v>
      </c>
      <c r="D31" s="42">
        <v>9.81</v>
      </c>
      <c r="E31" s="42">
        <v>11.45</v>
      </c>
      <c r="F31" s="42">
        <v>12.71</v>
      </c>
      <c r="H31" s="49"/>
      <c r="I31" s="50" t="s">
        <v>52</v>
      </c>
      <c r="J31" s="50" t="s">
        <v>56</v>
      </c>
      <c r="K31" s="50" t="s">
        <v>52</v>
      </c>
      <c r="L31" s="50" t="s">
        <v>56</v>
      </c>
      <c r="M31" s="49" t="s">
        <v>68</v>
      </c>
      <c r="N31" s="40"/>
      <c r="O31" s="49"/>
      <c r="P31" s="50" t="s">
        <v>52</v>
      </c>
      <c r="Q31" s="50" t="s">
        <v>54</v>
      </c>
      <c r="R31" s="49" t="s">
        <v>58</v>
      </c>
    </row>
    <row r="32" spans="1:18" ht="13.5" customHeight="1" x14ac:dyDescent="0.25">
      <c r="A32" s="42" t="s">
        <v>17</v>
      </c>
      <c r="B32" s="42">
        <v>10.74</v>
      </c>
      <c r="C32" s="42">
        <v>13.83</v>
      </c>
      <c r="D32" s="42">
        <v>9.8699999999999992</v>
      </c>
      <c r="E32" s="42">
        <v>11.06</v>
      </c>
      <c r="F32" s="42">
        <v>12.96</v>
      </c>
      <c r="H32" s="51" t="s">
        <v>3</v>
      </c>
      <c r="I32" s="52">
        <f>B37</f>
        <v>0.34254000000000001</v>
      </c>
      <c r="J32" s="52">
        <v>0.34250000000000003</v>
      </c>
      <c r="K32" s="51">
        <f>B36</f>
        <v>10.473000000000001</v>
      </c>
      <c r="L32" s="51">
        <v>10.473000000000001</v>
      </c>
      <c r="M32" s="51" t="s">
        <v>59</v>
      </c>
      <c r="N32" s="40"/>
      <c r="O32" s="51" t="s">
        <v>60</v>
      </c>
      <c r="P32" s="52" t="str">
        <f>D51</f>
        <v>0,30602</v>
      </c>
      <c r="Q32" s="52">
        <v>0.30602000000000001</v>
      </c>
      <c r="R32" s="51" t="s">
        <v>59</v>
      </c>
    </row>
    <row r="33" spans="1:18" ht="13.5" customHeight="1" x14ac:dyDescent="0.25">
      <c r="A33" s="42" t="s">
        <v>18</v>
      </c>
      <c r="B33" s="42">
        <v>10.85</v>
      </c>
      <c r="C33" s="42">
        <v>13.63</v>
      </c>
      <c r="D33" s="42">
        <v>10.23</v>
      </c>
      <c r="E33" s="42">
        <v>11.19</v>
      </c>
      <c r="F33" s="42">
        <v>13.55</v>
      </c>
      <c r="H33" s="51" t="s">
        <v>4</v>
      </c>
      <c r="I33" s="52">
        <f>C37</f>
        <v>0.24809999999999999</v>
      </c>
      <c r="J33" s="52">
        <v>0.24809999999999999</v>
      </c>
      <c r="K33" s="51">
        <f>C36</f>
        <v>13.66</v>
      </c>
      <c r="L33" s="51">
        <v>13.66</v>
      </c>
      <c r="M33" s="51" t="s">
        <v>59</v>
      </c>
      <c r="N33" s="40"/>
      <c r="O33" s="51" t="s">
        <v>62</v>
      </c>
      <c r="P33" s="52" t="str">
        <f>D53</f>
        <v>1,6282</v>
      </c>
      <c r="Q33" s="52">
        <v>1.6282000000000001</v>
      </c>
      <c r="R33" s="51" t="s">
        <v>59</v>
      </c>
    </row>
    <row r="34" spans="1:18" ht="13.5" customHeight="1" x14ac:dyDescent="0.25">
      <c r="A34" s="42" t="s">
        <v>19</v>
      </c>
      <c r="B34" s="42">
        <v>10.67</v>
      </c>
      <c r="C34" s="42">
        <v>13.56</v>
      </c>
      <c r="D34" s="42">
        <v>9.92</v>
      </c>
      <c r="E34" s="42">
        <v>11.29</v>
      </c>
      <c r="F34" s="42">
        <v>13.2</v>
      </c>
      <c r="H34" s="51" t="s">
        <v>5</v>
      </c>
      <c r="I34" s="52">
        <f>D37</f>
        <v>0.33909</v>
      </c>
      <c r="J34" s="52">
        <v>0.33910000000000001</v>
      </c>
      <c r="K34" s="51">
        <f>D36</f>
        <v>9.9830000000000005</v>
      </c>
      <c r="L34" s="51">
        <v>9.9830000000000005</v>
      </c>
      <c r="M34" s="51" t="s">
        <v>59</v>
      </c>
      <c r="N34" s="40"/>
      <c r="O34" s="51" t="s">
        <v>63</v>
      </c>
      <c r="P34" s="52" t="str">
        <f>D54</f>
        <v>3,2564</v>
      </c>
      <c r="Q34" s="52">
        <v>3.2564000000000002</v>
      </c>
      <c r="R34" s="51" t="s">
        <v>59</v>
      </c>
    </row>
    <row r="35" spans="1:18" ht="13.5" customHeight="1" thickBot="1" x14ac:dyDescent="0.3">
      <c r="A35" s="38" t="s">
        <v>20</v>
      </c>
      <c r="B35" s="42">
        <v>10.08</v>
      </c>
      <c r="C35" s="42">
        <v>13.58</v>
      </c>
      <c r="D35" s="42">
        <v>9.64</v>
      </c>
      <c r="E35" s="42">
        <v>11.35</v>
      </c>
      <c r="F35" s="42">
        <v>13.29</v>
      </c>
      <c r="H35" s="51" t="s">
        <v>25</v>
      </c>
      <c r="I35" s="52">
        <f>E37</f>
        <v>0.24923999999999999</v>
      </c>
      <c r="J35" s="52">
        <v>0.2492</v>
      </c>
      <c r="K35" s="51">
        <f>E36</f>
        <v>11.308999999999999</v>
      </c>
      <c r="L35" s="51">
        <v>11.308999999999999</v>
      </c>
      <c r="M35" s="51" t="s">
        <v>59</v>
      </c>
      <c r="N35" s="40"/>
      <c r="O35" s="51" t="s">
        <v>70</v>
      </c>
      <c r="P35" s="52" t="s">
        <v>71</v>
      </c>
      <c r="Q35" s="53">
        <v>11.7188</v>
      </c>
      <c r="R35" s="51" t="s">
        <v>71</v>
      </c>
    </row>
    <row r="36" spans="1:18" ht="13.5" customHeight="1" x14ac:dyDescent="0.25">
      <c r="A36" s="54" t="s">
        <v>32</v>
      </c>
      <c r="B36" s="54">
        <v>10.473000000000001</v>
      </c>
      <c r="C36" s="54">
        <v>13.66</v>
      </c>
      <c r="D36" s="54">
        <v>9.9830000000000005</v>
      </c>
      <c r="E36" s="54">
        <v>11.308999999999999</v>
      </c>
      <c r="F36" s="54">
        <v>13.169</v>
      </c>
      <c r="H36" s="51" t="s">
        <v>26</v>
      </c>
      <c r="I36" s="52">
        <f>F37</f>
        <v>0.35114000000000001</v>
      </c>
      <c r="J36" s="52">
        <v>0.35110000000000002</v>
      </c>
      <c r="K36" s="51">
        <f>F36</f>
        <v>13.169</v>
      </c>
      <c r="L36" s="51">
        <v>13.169</v>
      </c>
      <c r="M36" s="51" t="s">
        <v>59</v>
      </c>
      <c r="N36" s="40"/>
      <c r="O36" s="51" t="s">
        <v>69</v>
      </c>
      <c r="P36" s="52" t="str">
        <f>D55</f>
        <v>27,788</v>
      </c>
      <c r="Q36" s="52">
        <v>27.788</v>
      </c>
      <c r="R36" s="51" t="s">
        <v>59</v>
      </c>
    </row>
    <row r="37" spans="1:18" ht="13.5" customHeight="1" x14ac:dyDescent="0.25">
      <c r="A37" s="41" t="s">
        <v>38</v>
      </c>
      <c r="B37" s="55">
        <v>0.34254000000000001</v>
      </c>
      <c r="C37" s="55">
        <v>0.24809999999999999</v>
      </c>
      <c r="D37" s="55">
        <v>0.33909</v>
      </c>
      <c r="E37" s="55">
        <v>0.24923999999999999</v>
      </c>
      <c r="F37" s="55">
        <v>0.35114000000000001</v>
      </c>
      <c r="H37" s="51" t="s">
        <v>61</v>
      </c>
      <c r="I37" s="52" t="str">
        <f>D52</f>
        <v>1,6567</v>
      </c>
      <c r="J37" s="52">
        <v>1.6567000000000001</v>
      </c>
      <c r="K37" s="51" t="s">
        <v>59</v>
      </c>
      <c r="L37" s="40"/>
      <c r="M37" s="40"/>
      <c r="N37" s="40"/>
      <c r="O37" s="40" t="s">
        <v>72</v>
      </c>
      <c r="P37" s="40"/>
      <c r="Q37" s="40"/>
      <c r="R37" s="40"/>
    </row>
    <row r="38" spans="1:18" ht="13.5" customHeight="1" x14ac:dyDescent="0.25">
      <c r="A38" s="41" t="s">
        <v>185</v>
      </c>
      <c r="B38" s="41">
        <v>0.84999999999999964</v>
      </c>
      <c r="C38" s="41">
        <v>0.91999999999999993</v>
      </c>
      <c r="D38" s="41">
        <v>0.97000000000000064</v>
      </c>
      <c r="E38" s="41">
        <v>0.91999999999999993</v>
      </c>
      <c r="F38" s="41">
        <v>0.93000000000000149</v>
      </c>
    </row>
    <row r="39" spans="1:18" ht="13.5" hidden="1" customHeight="1" x14ac:dyDescent="0.25">
      <c r="A39" s="4" t="s">
        <v>32</v>
      </c>
      <c r="B39" s="4">
        <v>10.472999999999999</v>
      </c>
      <c r="C39" s="4">
        <v>13.66</v>
      </c>
      <c r="D39" s="4">
        <v>9.9830000000000005</v>
      </c>
      <c r="E39" s="4">
        <v>11.308999999999997</v>
      </c>
      <c r="F39" s="4">
        <v>13.169</v>
      </c>
    </row>
    <row r="40" spans="1:18" ht="13.5" hidden="1" customHeight="1" x14ac:dyDescent="0.25">
      <c r="A40" s="6" t="s">
        <v>21</v>
      </c>
      <c r="B40" s="5">
        <v>0.34254115730003071</v>
      </c>
      <c r="C40" s="5">
        <v>0.24810392087904537</v>
      </c>
      <c r="D40" s="5">
        <v>0.33908537109242692</v>
      </c>
      <c r="E40" s="5">
        <v>0.24924107027356271</v>
      </c>
      <c r="F40" s="5">
        <v>0.35113941517421382</v>
      </c>
    </row>
    <row r="41" spans="1:18" ht="13.5" hidden="1" customHeight="1" x14ac:dyDescent="0.25">
      <c r="A41" s="6" t="s">
        <v>22</v>
      </c>
      <c r="B41" s="8">
        <v>1.500724505302756</v>
      </c>
      <c r="C41" s="9"/>
      <c r="D41" s="10"/>
      <c r="E41" s="10"/>
      <c r="F41" s="10"/>
    </row>
    <row r="42" spans="1:18" ht="13.5" hidden="1" customHeight="1" x14ac:dyDescent="0.25">
      <c r="A42" s="7" t="s">
        <v>186</v>
      </c>
      <c r="B42" s="237">
        <v>10.85</v>
      </c>
      <c r="C42" s="237">
        <v>14.12</v>
      </c>
      <c r="D42" s="237">
        <v>10.47</v>
      </c>
      <c r="E42" s="237">
        <v>11.72</v>
      </c>
      <c r="F42" s="237">
        <v>13.63</v>
      </c>
    </row>
    <row r="43" spans="1:18" ht="13.5" hidden="1" customHeight="1" x14ac:dyDescent="0.25">
      <c r="A43" s="7" t="s">
        <v>187</v>
      </c>
      <c r="B43" s="237">
        <v>10</v>
      </c>
      <c r="C43" s="237">
        <v>13.2</v>
      </c>
      <c r="D43" s="237">
        <v>9.5</v>
      </c>
      <c r="E43" s="237">
        <v>10.8</v>
      </c>
      <c r="F43" s="237">
        <v>12.7</v>
      </c>
    </row>
    <row r="44" spans="1:18" ht="13.5" hidden="1" customHeight="1" x14ac:dyDescent="0.25">
      <c r="A44" s="238" t="s">
        <v>188</v>
      </c>
      <c r="B44" s="8">
        <v>4.2211000000000034</v>
      </c>
      <c r="C44" s="9"/>
      <c r="D44" s="9"/>
      <c r="E44" s="9"/>
      <c r="F44" s="10"/>
    </row>
    <row r="45" spans="1:18" ht="13.5" hidden="1" customHeight="1" x14ac:dyDescent="0.25">
      <c r="A45" s="238" t="s">
        <v>189</v>
      </c>
      <c r="B45" s="8">
        <v>0.64969993073725996</v>
      </c>
      <c r="C45" s="9"/>
      <c r="D45" s="9"/>
      <c r="E45" s="9"/>
      <c r="F45" s="10"/>
    </row>
    <row r="46" spans="1:18" ht="13.5" hidden="1" customHeight="1" x14ac:dyDescent="0.25">
      <c r="A46" s="238" t="s">
        <v>190</v>
      </c>
      <c r="B46" s="8">
        <v>2.6230100000000225</v>
      </c>
      <c r="C46" s="9"/>
      <c r="D46" s="9"/>
      <c r="E46" s="9"/>
      <c r="F46" s="10"/>
    </row>
    <row r="47" spans="1:18" ht="13.5" hidden="1" customHeight="1" x14ac:dyDescent="0.25">
      <c r="A47" s="238" t="s">
        <v>191</v>
      </c>
      <c r="B47" s="8">
        <v>0.8</v>
      </c>
      <c r="C47" s="9"/>
      <c r="D47" s="9"/>
      <c r="E47" s="9"/>
      <c r="F47" s="10"/>
    </row>
    <row r="48" spans="1:18" ht="13.5" hidden="1" customHeight="1" x14ac:dyDescent="0.25">
      <c r="A48" s="238" t="s">
        <v>192</v>
      </c>
      <c r="B48" s="8">
        <v>1.448588278290287</v>
      </c>
      <c r="C48" s="9"/>
      <c r="D48" s="9"/>
      <c r="E48" s="9"/>
      <c r="F48" s="10"/>
    </row>
    <row r="49" spans="1:18" ht="13.5" customHeight="1" x14ac:dyDescent="0.25">
      <c r="A49" s="239" t="s">
        <v>193</v>
      </c>
      <c r="B49" s="240" t="s">
        <v>200</v>
      </c>
      <c r="C49" s="9"/>
      <c r="D49" s="9"/>
      <c r="E49" s="9"/>
      <c r="F49" s="10"/>
      <c r="H49" s="40" t="s">
        <v>201</v>
      </c>
    </row>
    <row r="50" spans="1:18" ht="13.5" customHeight="1" x14ac:dyDescent="0.25"/>
    <row r="51" spans="1:18" ht="13.5" customHeight="1" x14ac:dyDescent="0.35">
      <c r="A51" s="26" t="s">
        <v>27</v>
      </c>
      <c r="D51" s="56" t="s">
        <v>194</v>
      </c>
      <c r="E51" s="26" t="s">
        <v>195</v>
      </c>
    </row>
    <row r="52" spans="1:18" ht="13.5" customHeight="1" x14ac:dyDescent="0.35">
      <c r="A52" s="26" t="s">
        <v>28</v>
      </c>
      <c r="D52" s="56" t="s">
        <v>196</v>
      </c>
      <c r="E52" s="26" t="s">
        <v>195</v>
      </c>
    </row>
    <row r="53" spans="1:18" ht="13.5" customHeight="1" x14ac:dyDescent="0.25">
      <c r="A53" s="26" t="s">
        <v>23</v>
      </c>
      <c r="D53" s="56" t="s">
        <v>197</v>
      </c>
      <c r="E53" s="26" t="s">
        <v>195</v>
      </c>
    </row>
    <row r="54" spans="1:18" ht="21" customHeight="1" x14ac:dyDescent="0.25">
      <c r="A54" s="57" t="s">
        <v>24</v>
      </c>
      <c r="D54" s="58" t="s">
        <v>198</v>
      </c>
      <c r="E54" s="59" t="s">
        <v>195</v>
      </c>
    </row>
    <row r="55" spans="1:18" ht="15.75" x14ac:dyDescent="0.25">
      <c r="A55" s="57" t="s">
        <v>31</v>
      </c>
      <c r="D55" s="58" t="s">
        <v>199</v>
      </c>
      <c r="E55" s="59" t="s">
        <v>30</v>
      </c>
    </row>
    <row r="56" spans="1:18" ht="15" customHeight="1" x14ac:dyDescent="0.25">
      <c r="A56" s="60" t="s">
        <v>195</v>
      </c>
    </row>
    <row r="57" spans="1:18" ht="12.75" customHeight="1" x14ac:dyDescent="0.25">
      <c r="A57" s="60" t="s">
        <v>195</v>
      </c>
    </row>
    <row r="60" spans="1:18" x14ac:dyDescent="0.25">
      <c r="A60" s="61" t="s">
        <v>34</v>
      </c>
      <c r="B60" s="61"/>
    </row>
    <row r="61" spans="1:18" ht="15.75" thickBot="1" x14ac:dyDescent="0.3">
      <c r="A61" s="140"/>
      <c r="B61" s="140"/>
      <c r="C61" s="140"/>
      <c r="D61" s="140"/>
      <c r="E61" s="140"/>
      <c r="F61" s="140"/>
      <c r="G61" s="140"/>
      <c r="H61" s="140"/>
      <c r="I61" s="140"/>
      <c r="J61" s="140"/>
      <c r="K61" s="140"/>
      <c r="L61" s="140"/>
      <c r="M61" s="140"/>
      <c r="N61" s="140"/>
      <c r="O61" s="140"/>
      <c r="P61" s="140"/>
      <c r="Q61" s="140"/>
      <c r="R61" s="140"/>
    </row>
    <row r="62" spans="1:18" ht="18.75" x14ac:dyDescent="0.3">
      <c r="A62" s="159" t="s">
        <v>145</v>
      </c>
    </row>
    <row r="63" spans="1:18" ht="15.75" x14ac:dyDescent="0.25">
      <c r="A63" s="160" t="s">
        <v>99</v>
      </c>
      <c r="B63" s="142"/>
      <c r="C63" s="142"/>
      <c r="D63" s="142"/>
      <c r="E63" s="142"/>
      <c r="F63" s="142"/>
      <c r="G63" s="142"/>
      <c r="H63" s="142"/>
      <c r="I63" s="142"/>
      <c r="J63" s="18" t="s">
        <v>144</v>
      </c>
      <c r="K63" s="142"/>
    </row>
    <row r="64" spans="1:18" x14ac:dyDescent="0.25">
      <c r="A64" s="142" t="s">
        <v>102</v>
      </c>
      <c r="B64" s="142"/>
      <c r="C64" s="142"/>
      <c r="D64" s="142"/>
      <c r="E64" s="142"/>
      <c r="F64" s="142"/>
      <c r="G64" s="142"/>
      <c r="H64" s="142"/>
      <c r="I64" s="142"/>
      <c r="J64" s="142"/>
      <c r="K64" s="142"/>
    </row>
    <row r="65" spans="1:15" x14ac:dyDescent="0.25">
      <c r="A65" s="142" t="s">
        <v>100</v>
      </c>
      <c r="B65" s="142"/>
      <c r="C65" s="142"/>
      <c r="D65" s="142"/>
      <c r="E65" s="142"/>
      <c r="F65" s="142"/>
      <c r="G65" s="142"/>
      <c r="H65" s="142"/>
      <c r="I65" s="142"/>
      <c r="J65" s="142"/>
      <c r="K65" s="142"/>
    </row>
    <row r="66" spans="1:15" x14ac:dyDescent="0.25">
      <c r="A66" s="142" t="s">
        <v>101</v>
      </c>
      <c r="B66" s="142"/>
      <c r="C66" s="142"/>
      <c r="D66" s="142"/>
      <c r="E66" s="142"/>
      <c r="F66" s="142"/>
      <c r="G66" s="142"/>
      <c r="H66" s="142"/>
      <c r="I66" s="142"/>
      <c r="J66" s="142"/>
      <c r="K66" s="142"/>
    </row>
    <row r="67" spans="1:15" x14ac:dyDescent="0.25">
      <c r="A67" s="143" t="s">
        <v>139</v>
      </c>
      <c r="B67" s="142"/>
      <c r="C67" s="142"/>
      <c r="D67" s="142"/>
      <c r="E67" s="142"/>
      <c r="F67" s="142"/>
      <c r="G67" s="142"/>
      <c r="H67" s="142"/>
      <c r="I67" s="142"/>
      <c r="J67" s="142"/>
      <c r="K67" s="48" t="s">
        <v>55</v>
      </c>
      <c r="L67" s="165" t="s">
        <v>53</v>
      </c>
      <c r="M67" s="180"/>
      <c r="N67" s="180"/>
      <c r="O67" s="166"/>
    </row>
    <row r="68" spans="1:15" x14ac:dyDescent="0.25">
      <c r="A68" s="142"/>
      <c r="B68" s="142"/>
      <c r="C68" s="142"/>
      <c r="D68" s="142"/>
      <c r="E68" s="142"/>
      <c r="F68" s="142"/>
      <c r="G68" s="142"/>
      <c r="H68" s="142"/>
      <c r="I68" s="142"/>
      <c r="J68" s="142"/>
      <c r="K68" s="50" t="s">
        <v>56</v>
      </c>
      <c r="L68" s="167" t="s">
        <v>54</v>
      </c>
      <c r="M68" s="181"/>
      <c r="N68" s="181"/>
      <c r="O68" s="168"/>
    </row>
    <row r="69" spans="1:15" x14ac:dyDescent="0.25">
      <c r="A69" s="144"/>
      <c r="B69" s="145"/>
      <c r="C69" s="146" t="s">
        <v>93</v>
      </c>
      <c r="D69" s="146"/>
      <c r="E69" s="146"/>
      <c r="F69" s="146"/>
      <c r="G69" s="147"/>
      <c r="H69" s="148"/>
      <c r="I69" s="148"/>
      <c r="J69" s="161"/>
      <c r="K69" s="170"/>
      <c r="L69" s="170"/>
      <c r="M69" s="170"/>
      <c r="N69" s="182"/>
      <c r="O69" s="170"/>
    </row>
    <row r="70" spans="1:15" ht="18" x14ac:dyDescent="0.25">
      <c r="A70" s="85" t="s">
        <v>91</v>
      </c>
      <c r="B70" s="86" t="s">
        <v>92</v>
      </c>
      <c r="C70" s="149" t="s">
        <v>3</v>
      </c>
      <c r="D70" s="85" t="s">
        <v>4</v>
      </c>
      <c r="E70" s="85" t="s">
        <v>5</v>
      </c>
      <c r="F70" s="85" t="s">
        <v>25</v>
      </c>
      <c r="G70" s="150" t="s">
        <v>26</v>
      </c>
      <c r="H70" s="151" t="s">
        <v>97</v>
      </c>
      <c r="I70" s="151" t="s">
        <v>98</v>
      </c>
      <c r="J70" s="162" t="s">
        <v>136</v>
      </c>
      <c r="K70" s="169" t="s">
        <v>146</v>
      </c>
      <c r="L70" s="169" t="s">
        <v>98</v>
      </c>
      <c r="M70" s="169" t="s">
        <v>151</v>
      </c>
      <c r="N70" s="261" t="s">
        <v>147</v>
      </c>
      <c r="O70" s="262"/>
    </row>
    <row r="71" spans="1:15" x14ac:dyDescent="0.25">
      <c r="A71" s="152"/>
      <c r="B71" s="153"/>
      <c r="C71" s="154">
        <v>4019</v>
      </c>
      <c r="D71" s="152">
        <v>4580</v>
      </c>
      <c r="E71" s="152">
        <v>4028</v>
      </c>
      <c r="F71" s="152">
        <v>4586</v>
      </c>
      <c r="G71" s="153">
        <v>4078</v>
      </c>
      <c r="H71" s="172">
        <f>IF(COUNT(C71:G71)&lt;2,"?",STDEV(C71:G71))</f>
        <v>297.35870594283932</v>
      </c>
      <c r="I71" s="175">
        <f>IF(COUNT(C71:G71)&lt;2,"?",2*STDEV(C71:G71))</f>
        <v>594.71741188567864</v>
      </c>
      <c r="J71" s="163">
        <f>IF(COUNT(C71:G71)&lt;2,"?",2*STDEV(C71:G71)/AVERAGE(C71:G71)*100)</f>
        <v>13.966403923856999</v>
      </c>
      <c r="K71" s="174">
        <v>297.3587</v>
      </c>
      <c r="L71" s="177">
        <v>594.71699999999998</v>
      </c>
      <c r="M71" s="183">
        <v>4258.2</v>
      </c>
      <c r="N71" s="257">
        <v>14</v>
      </c>
      <c r="O71" s="258"/>
    </row>
    <row r="72" spans="1:15" x14ac:dyDescent="0.25">
      <c r="A72" s="152"/>
      <c r="B72" s="153"/>
      <c r="C72" s="154">
        <v>3952</v>
      </c>
      <c r="D72" s="152">
        <v>4164</v>
      </c>
      <c r="E72" s="152">
        <v>3974</v>
      </c>
      <c r="F72" s="152">
        <v>4171</v>
      </c>
      <c r="G72" s="153">
        <v>3989</v>
      </c>
      <c r="H72" s="172">
        <f t="shared" ref="H72:H80" si="0">IF(COUNT(C72:G72)&lt;2,"?",STDEV(C72:G72))</f>
        <v>108.09486574301297</v>
      </c>
      <c r="I72" s="175">
        <f t="shared" ref="I72:I80" si="1">IF(COUNT(C72:G72)&lt;2,"?",2*STDEV(C72:G72))</f>
        <v>216.18973148602595</v>
      </c>
      <c r="J72" s="163">
        <f t="shared" ref="J72:J80" si="2">IF(COUNT(C72:G72)&lt;2,"?",2*STDEV(C72:G72)/AVERAGE(C72:G72)*100)</f>
        <v>5.338018061383357</v>
      </c>
      <c r="K72" s="174">
        <v>108.0949</v>
      </c>
      <c r="L72" s="177">
        <v>216.19</v>
      </c>
      <c r="M72" s="183">
        <v>4050</v>
      </c>
      <c r="N72" s="257">
        <v>5.3</v>
      </c>
      <c r="O72" s="258"/>
    </row>
    <row r="73" spans="1:15" x14ac:dyDescent="0.25">
      <c r="A73" s="152"/>
      <c r="B73" s="153"/>
      <c r="C73" s="154">
        <v>5806</v>
      </c>
      <c r="D73" s="152">
        <v>3922</v>
      </c>
      <c r="E73" s="152">
        <v>5848</v>
      </c>
      <c r="F73" s="152">
        <v>3950</v>
      </c>
      <c r="G73" s="153">
        <v>5894</v>
      </c>
      <c r="H73" s="172">
        <f t="shared" si="0"/>
        <v>1048.4846207741914</v>
      </c>
      <c r="I73" s="175">
        <f t="shared" si="1"/>
        <v>2096.9692415483828</v>
      </c>
      <c r="J73" s="163">
        <f t="shared" si="2"/>
        <v>41.246444562320669</v>
      </c>
      <c r="K73" s="174">
        <v>1048.4846</v>
      </c>
      <c r="L73" s="177">
        <v>2096.9690000000001</v>
      </c>
      <c r="M73" s="183">
        <v>5084</v>
      </c>
      <c r="N73" s="257">
        <v>41.2</v>
      </c>
      <c r="O73" s="258"/>
    </row>
    <row r="74" spans="1:15" x14ac:dyDescent="0.25">
      <c r="A74" s="152"/>
      <c r="B74" s="153"/>
      <c r="C74" s="154">
        <v>4891</v>
      </c>
      <c r="D74" s="152">
        <v>5433</v>
      </c>
      <c r="E74" s="152">
        <v>4908</v>
      </c>
      <c r="F74" s="152">
        <v>5466</v>
      </c>
      <c r="G74" s="153">
        <v>4951</v>
      </c>
      <c r="H74" s="172">
        <f t="shared" si="0"/>
        <v>292.89537381119561</v>
      </c>
      <c r="I74" s="175">
        <f t="shared" si="1"/>
        <v>585.79074762239122</v>
      </c>
      <c r="J74" s="163">
        <f t="shared" si="2"/>
        <v>11.419368155140381</v>
      </c>
      <c r="K74" s="174">
        <v>292.8954</v>
      </c>
      <c r="L74" s="177">
        <v>585.79100000000005</v>
      </c>
      <c r="M74" s="183">
        <v>5129.8</v>
      </c>
      <c r="N74" s="257">
        <v>11.4</v>
      </c>
      <c r="O74" s="258"/>
    </row>
    <row r="75" spans="1:15" x14ac:dyDescent="0.25">
      <c r="A75" s="152"/>
      <c r="B75" s="153"/>
      <c r="C75" s="154">
        <v>4521</v>
      </c>
      <c r="D75" s="152">
        <v>4220</v>
      </c>
      <c r="E75" s="152">
        <v>4548</v>
      </c>
      <c r="F75" s="152">
        <v>4240</v>
      </c>
      <c r="G75" s="153">
        <v>4551</v>
      </c>
      <c r="H75" s="172">
        <f t="shared" si="0"/>
        <v>170.34230243835498</v>
      </c>
      <c r="I75" s="175">
        <f t="shared" si="1"/>
        <v>340.68460487670995</v>
      </c>
      <c r="J75" s="163">
        <f t="shared" si="2"/>
        <v>7.7147781901428889</v>
      </c>
      <c r="K75" s="174">
        <v>170.34229999999999</v>
      </c>
      <c r="L75" s="177">
        <v>340.685</v>
      </c>
      <c r="M75" s="183">
        <v>4416</v>
      </c>
      <c r="N75" s="257">
        <v>7.7</v>
      </c>
      <c r="O75" s="258"/>
    </row>
    <row r="76" spans="1:15" x14ac:dyDescent="0.25">
      <c r="A76" s="152"/>
      <c r="B76" s="153"/>
      <c r="C76" s="154">
        <v>5103</v>
      </c>
      <c r="D76" s="152">
        <v>4751</v>
      </c>
      <c r="E76" s="152">
        <v>5105</v>
      </c>
      <c r="F76" s="152">
        <v>4776</v>
      </c>
      <c r="G76" s="153">
        <v>5120</v>
      </c>
      <c r="H76" s="172">
        <f t="shared" si="0"/>
        <v>189.74061241600333</v>
      </c>
      <c r="I76" s="175">
        <f t="shared" si="1"/>
        <v>379.48122483200666</v>
      </c>
      <c r="J76" s="163">
        <f t="shared" si="2"/>
        <v>7.6339011231544278</v>
      </c>
      <c r="K76" s="174">
        <v>189.7406</v>
      </c>
      <c r="L76" s="177">
        <v>379.48099999999999</v>
      </c>
      <c r="M76" s="183">
        <v>4971</v>
      </c>
      <c r="N76" s="257">
        <v>7.6</v>
      </c>
      <c r="O76" s="258"/>
    </row>
    <row r="77" spans="1:15" x14ac:dyDescent="0.25">
      <c r="A77" s="152"/>
      <c r="B77" s="153"/>
      <c r="C77" s="154">
        <v>3126</v>
      </c>
      <c r="D77" s="152">
        <v>2962</v>
      </c>
      <c r="E77" s="152">
        <v>3138</v>
      </c>
      <c r="F77" s="152">
        <v>2985</v>
      </c>
      <c r="G77" s="153">
        <v>3139</v>
      </c>
      <c r="H77" s="172">
        <f t="shared" si="0"/>
        <v>88.614332926451581</v>
      </c>
      <c r="I77" s="175">
        <f t="shared" si="1"/>
        <v>177.22866585290316</v>
      </c>
      <c r="J77" s="163">
        <f t="shared" si="2"/>
        <v>5.7729207118209498</v>
      </c>
      <c r="K77" s="174">
        <v>88.6143</v>
      </c>
      <c r="L77" s="177">
        <v>177.22900000000001</v>
      </c>
      <c r="M77" s="183">
        <v>3070</v>
      </c>
      <c r="N77" s="257">
        <v>5.8</v>
      </c>
      <c r="O77" s="258"/>
    </row>
    <row r="78" spans="1:15" x14ac:dyDescent="0.25">
      <c r="A78" s="152"/>
      <c r="B78" s="153"/>
      <c r="C78" s="154">
        <v>4125</v>
      </c>
      <c r="D78" s="152">
        <v>3960</v>
      </c>
      <c r="E78" s="152">
        <v>4133</v>
      </c>
      <c r="F78" s="152">
        <v>3979</v>
      </c>
      <c r="G78" s="153">
        <v>4136</v>
      </c>
      <c r="H78" s="172">
        <f t="shared" si="0"/>
        <v>88.984830167843768</v>
      </c>
      <c r="I78" s="175">
        <f t="shared" si="1"/>
        <v>177.96966033568754</v>
      </c>
      <c r="J78" s="163">
        <f t="shared" si="2"/>
        <v>4.3763748668589866</v>
      </c>
      <c r="K78" s="174">
        <v>88.984800000000007</v>
      </c>
      <c r="L78" s="177">
        <v>177.97</v>
      </c>
      <c r="M78" s="183">
        <v>4066.6</v>
      </c>
      <c r="N78" s="257">
        <v>4.4000000000000004</v>
      </c>
      <c r="O78" s="258"/>
    </row>
    <row r="79" spans="1:15" x14ac:dyDescent="0.25">
      <c r="A79" s="152"/>
      <c r="B79" s="153"/>
      <c r="C79" s="154">
        <v>3900</v>
      </c>
      <c r="D79" s="152">
        <v>4000</v>
      </c>
      <c r="E79" s="152">
        <v>3927</v>
      </c>
      <c r="F79" s="152">
        <v>4038</v>
      </c>
      <c r="G79" s="153">
        <v>3932</v>
      </c>
      <c r="H79" s="172">
        <f t="shared" si="0"/>
        <v>57.348060124122767</v>
      </c>
      <c r="I79" s="175">
        <f t="shared" si="1"/>
        <v>114.69612024824553</v>
      </c>
      <c r="J79" s="163">
        <f t="shared" si="2"/>
        <v>2.8968055828722918</v>
      </c>
      <c r="K79" s="174">
        <v>57.348100000000002</v>
      </c>
      <c r="L79" s="177">
        <v>114.696</v>
      </c>
      <c r="M79" s="183">
        <v>3959.4</v>
      </c>
      <c r="N79" s="257">
        <v>2.9</v>
      </c>
      <c r="O79" s="258"/>
    </row>
    <row r="80" spans="1:15" ht="15.75" thickBot="1" x14ac:dyDescent="0.3">
      <c r="A80" s="155"/>
      <c r="B80" s="156"/>
      <c r="C80" s="157">
        <v>4200</v>
      </c>
      <c r="D80" s="155">
        <v>4700</v>
      </c>
      <c r="E80" s="155">
        <v>4232</v>
      </c>
      <c r="F80" s="155">
        <v>4727</v>
      </c>
      <c r="G80" s="156">
        <v>4278</v>
      </c>
      <c r="H80" s="173">
        <f t="shared" si="0"/>
        <v>262.81324167552896</v>
      </c>
      <c r="I80" s="176">
        <f t="shared" si="1"/>
        <v>525.62648335105791</v>
      </c>
      <c r="J80" s="164">
        <f t="shared" si="2"/>
        <v>11.872125476601571</v>
      </c>
      <c r="K80" s="179">
        <v>262.81319999999999</v>
      </c>
      <c r="L80" s="178">
        <v>525.62599999999998</v>
      </c>
      <c r="M80" s="184">
        <v>4427.3999999999996</v>
      </c>
      <c r="N80" s="255">
        <v>11.9</v>
      </c>
      <c r="O80" s="256"/>
    </row>
    <row r="81" spans="1:13" x14ac:dyDescent="0.25">
      <c r="A81" s="142"/>
      <c r="B81" s="142"/>
      <c r="C81" s="142"/>
      <c r="D81" s="142"/>
      <c r="E81" s="142"/>
      <c r="F81" s="142"/>
      <c r="G81" s="142"/>
      <c r="H81" s="142"/>
      <c r="I81" s="142"/>
      <c r="J81" s="138"/>
      <c r="K81" s="142"/>
    </row>
    <row r="82" spans="1:13" ht="15.75" thickBot="1" x14ac:dyDescent="0.3">
      <c r="A82" s="142"/>
      <c r="B82" s="142"/>
      <c r="C82" s="142"/>
      <c r="D82" s="142"/>
      <c r="E82" s="142"/>
      <c r="F82" s="142"/>
      <c r="G82" s="142"/>
      <c r="H82" s="142"/>
      <c r="I82" s="93" t="s">
        <v>137</v>
      </c>
      <c r="J82" s="132" t="str">
        <f>IF(COUNT(J71:J80)&lt;2,"?",IF(ISERROR(AVERAGE(J71:J80)),"?",FIXED(AVERAGE(J71:J80),1)&amp;" (± "&amp;FIXED(STDEV(J71:J80)*TINV((100-95)/100,(COUNT(J71:J80)-1))/SQRT(COUNT(J71:J80)),0)&amp;") %"))</f>
        <v>11,2 (± 8) %</v>
      </c>
      <c r="K82" s="171" t="s">
        <v>150</v>
      </c>
      <c r="L82" s="53" t="s">
        <v>148</v>
      </c>
      <c r="M82" s="53" t="s">
        <v>149</v>
      </c>
    </row>
    <row r="83" spans="1:13" ht="15.75" thickTop="1" x14ac:dyDescent="0.25">
      <c r="A83" s="142"/>
      <c r="B83" s="142"/>
      <c r="C83" s="142"/>
      <c r="D83" s="142"/>
      <c r="E83" s="142"/>
      <c r="F83" s="142"/>
      <c r="G83" s="142"/>
      <c r="H83" s="93"/>
      <c r="I83" s="93" t="str">
        <f>IF(COUNT(J71:J80)&lt;2,"","Gemäß vorliegenden Daten entspricht dieses einem Erwartungsbereich der Unsicherheit der Probenahme, von "&amp;ROUND(AVERAGE(J71:J80)-STDEV(J71:J80)*TINV((100-95)/100,(COUNT(J71:J80)-1))/SQRT(COUNT(J71:J80)),0)&amp;"%  bis")</f>
        <v>Gemäß vorliegenden Daten entspricht dieses einem Erwartungsbereich der Unsicherheit der Probenahme, von 3%  bis</v>
      </c>
      <c r="J83" s="142" t="str">
        <f>IF(COUNT(J71:J80)&lt;2,"?",IF(COUNT(J71:J80)&lt;2,"",ROUND(AVERAGE(J71:J80)+STDEV(J71:J80)*TINV((100-95)/100,(COUNT(J71:J80)-1))/SQRT(COUNT(J71:J80)),0)&amp;" %"))</f>
        <v>19 %</v>
      </c>
      <c r="K83" s="158" t="str">
        <f>IF(COUNT(J71:J80)&lt;2,"",IF(ROUND(AVERAGE(J71:J80)-STDEV(J71:J80)*TINV((100-95)/100,(COUNT(J71:J80)-1))/SQRT(COUNT(J71:J80)),0)&lt;0,"fragwürdig; Toleranzbereich geht in Negative!",""))</f>
        <v/>
      </c>
      <c r="L83" s="52">
        <v>3</v>
      </c>
      <c r="M83" s="52">
        <v>19</v>
      </c>
    </row>
  </sheetData>
  <sheetProtection sheet="1" objects="1" scenarios="1"/>
  <mergeCells count="17">
    <mergeCell ref="C15:F15"/>
    <mergeCell ref="C20:F20"/>
    <mergeCell ref="N70:O70"/>
    <mergeCell ref="C17:F17"/>
    <mergeCell ref="C18:F18"/>
    <mergeCell ref="C21:F21"/>
    <mergeCell ref="C22:D22"/>
    <mergeCell ref="N75:O75"/>
    <mergeCell ref="N74:O74"/>
    <mergeCell ref="N73:O73"/>
    <mergeCell ref="N72:O72"/>
    <mergeCell ref="N71:O71"/>
    <mergeCell ref="N80:O80"/>
    <mergeCell ref="N79:O79"/>
    <mergeCell ref="N78:O78"/>
    <mergeCell ref="N77:O77"/>
    <mergeCell ref="N76:O76"/>
  </mergeCells>
  <phoneticPr fontId="34" type="noConversion"/>
  <pageMargins left="0.70866141732283472" right="0.70866141732283472" top="0.78740157480314965" bottom="0.78740157480314965" header="0.31496062992125984" footer="0.31496062992125984"/>
  <pageSetup paperSize="9" orientation="portrait" horizontalDpi="300" verticalDpi="300" r:id="rId1"/>
  <headerFooter>
    <oddHeader>&amp;L&amp;"-,Fett"&amp;12&amp;UErmittlung der Unsicherheit einer Probenahme</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85" zoomScaleNormal="85" workbookViewId="0">
      <selection activeCell="H1" sqref="H1"/>
    </sheetView>
  </sheetViews>
  <sheetFormatPr baseColWidth="10" defaultColWidth="12.7109375" defaultRowHeight="15" x14ac:dyDescent="0.25"/>
  <cols>
    <col min="8" max="13" width="13.7109375" customWidth="1"/>
    <col min="14" max="14" width="16.140625" bestFit="1" customWidth="1"/>
  </cols>
  <sheetData>
    <row r="1" spans="1:14" x14ac:dyDescent="0.25">
      <c r="A1" t="s">
        <v>121</v>
      </c>
    </row>
    <row r="2" spans="1:14" x14ac:dyDescent="0.25">
      <c r="A2" s="105" t="s">
        <v>156</v>
      </c>
      <c r="B2" s="105"/>
      <c r="C2" s="105"/>
      <c r="D2" s="105"/>
      <c r="E2" s="105"/>
      <c r="F2" s="105"/>
      <c r="G2" s="105"/>
      <c r="H2" s="105"/>
      <c r="I2" s="105"/>
      <c r="J2" s="105"/>
      <c r="K2" s="105"/>
      <c r="L2" s="105"/>
      <c r="M2" s="105"/>
    </row>
    <row r="3" spans="1:14" x14ac:dyDescent="0.25">
      <c r="A3" s="123"/>
      <c r="B3" s="222" t="s">
        <v>108</v>
      </c>
      <c r="C3" s="222" t="s">
        <v>107</v>
      </c>
      <c r="D3" s="222" t="s">
        <v>106</v>
      </c>
      <c r="E3" s="119" t="s">
        <v>105</v>
      </c>
      <c r="H3" s="224" t="s">
        <v>122</v>
      </c>
    </row>
    <row r="4" spans="1:14" x14ac:dyDescent="0.25">
      <c r="A4" s="103" t="s">
        <v>109</v>
      </c>
      <c r="B4" s="112">
        <v>3898</v>
      </c>
      <c r="C4" s="116">
        <v>4139</v>
      </c>
      <c r="D4" s="116">
        <v>4466</v>
      </c>
      <c r="E4" s="117">
        <v>4693</v>
      </c>
      <c r="F4" s="134"/>
      <c r="H4" s="129" t="s">
        <v>204</v>
      </c>
      <c r="I4" s="129"/>
      <c r="J4" s="124" t="s">
        <v>123</v>
      </c>
    </row>
    <row r="5" spans="1:14" x14ac:dyDescent="0.25">
      <c r="A5" s="103" t="s">
        <v>110</v>
      </c>
      <c r="B5" s="118">
        <v>3910</v>
      </c>
      <c r="C5" s="222">
        <v>3993</v>
      </c>
      <c r="D5" s="222">
        <v>4201</v>
      </c>
      <c r="E5" s="119">
        <v>4126</v>
      </c>
      <c r="F5" s="134"/>
      <c r="H5" s="126" t="s">
        <v>126</v>
      </c>
      <c r="I5" s="125" t="s">
        <v>125</v>
      </c>
      <c r="J5" s="125" t="s">
        <v>124</v>
      </c>
      <c r="K5" s="128" t="s">
        <v>127</v>
      </c>
    </row>
    <row r="6" spans="1:14" x14ac:dyDescent="0.25">
      <c r="A6" s="103" t="s">
        <v>111</v>
      </c>
      <c r="B6" s="118">
        <v>5708</v>
      </c>
      <c r="C6" s="222">
        <v>5903</v>
      </c>
      <c r="D6" s="222">
        <v>4061</v>
      </c>
      <c r="E6" s="119">
        <v>3782</v>
      </c>
      <c r="F6" s="134" t="s">
        <v>172</v>
      </c>
      <c r="H6" s="130">
        <v>0.1447</v>
      </c>
      <c r="I6" s="130">
        <v>0.23849999999999999</v>
      </c>
      <c r="J6" s="130">
        <v>0.23849999999999999</v>
      </c>
      <c r="K6" s="131" t="s">
        <v>135</v>
      </c>
    </row>
    <row r="7" spans="1:14" x14ac:dyDescent="0.25">
      <c r="A7" s="103" t="s">
        <v>112</v>
      </c>
      <c r="B7" s="118">
        <v>5028</v>
      </c>
      <c r="C7" s="222">
        <v>4754</v>
      </c>
      <c r="D7" s="222">
        <v>5450</v>
      </c>
      <c r="E7" s="119">
        <v>5416</v>
      </c>
      <c r="F7" s="134"/>
      <c r="H7" s="127" t="s">
        <v>128</v>
      </c>
      <c r="I7" s="127" t="s">
        <v>128</v>
      </c>
      <c r="J7" s="127" t="s">
        <v>128</v>
      </c>
      <c r="K7" t="s">
        <v>133</v>
      </c>
    </row>
    <row r="8" spans="1:14" x14ac:dyDescent="0.25">
      <c r="A8" s="103" t="s">
        <v>113</v>
      </c>
      <c r="B8" s="118">
        <v>4640</v>
      </c>
      <c r="C8" s="222">
        <v>4401</v>
      </c>
      <c r="D8" s="222">
        <v>4248</v>
      </c>
      <c r="E8" s="119">
        <v>4191</v>
      </c>
      <c r="F8" s="134"/>
      <c r="H8" s="134" t="s">
        <v>138</v>
      </c>
    </row>
    <row r="9" spans="1:14" x14ac:dyDescent="0.25">
      <c r="A9" s="103" t="s">
        <v>114</v>
      </c>
      <c r="B9" s="118">
        <v>5182</v>
      </c>
      <c r="C9" s="222">
        <v>5023</v>
      </c>
      <c r="D9" s="222">
        <v>4662</v>
      </c>
      <c r="E9" s="119">
        <v>4839</v>
      </c>
      <c r="F9" s="134"/>
      <c r="H9" s="135">
        <v>0.1234</v>
      </c>
      <c r="I9" s="135">
        <v>0.11020000000000001</v>
      </c>
      <c r="J9" s="135">
        <v>0.11020000000000001</v>
      </c>
      <c r="K9" s="134" t="s">
        <v>135</v>
      </c>
    </row>
    <row r="10" spans="1:14" x14ac:dyDescent="0.25">
      <c r="A10" s="103" t="s">
        <v>115</v>
      </c>
      <c r="B10" s="118">
        <v>3028</v>
      </c>
      <c r="C10" s="222">
        <v>3224</v>
      </c>
      <c r="D10" s="222">
        <v>3023</v>
      </c>
      <c r="E10" s="119">
        <v>2901</v>
      </c>
      <c r="F10" s="134"/>
    </row>
    <row r="11" spans="1:14" x14ac:dyDescent="0.25">
      <c r="A11" s="104" t="s">
        <v>116</v>
      </c>
      <c r="B11" s="120">
        <v>3966</v>
      </c>
      <c r="C11" s="121">
        <v>4283</v>
      </c>
      <c r="D11" s="121">
        <v>4131</v>
      </c>
      <c r="E11" s="122">
        <v>3788</v>
      </c>
      <c r="F11" s="134"/>
    </row>
    <row r="12" spans="1:14" x14ac:dyDescent="0.25">
      <c r="B12" s="222"/>
      <c r="C12" s="222"/>
      <c r="D12" s="222"/>
      <c r="E12" s="222"/>
    </row>
    <row r="13" spans="1:14" ht="21" customHeight="1" thickBot="1" x14ac:dyDescent="0.3">
      <c r="A13" s="225" t="s">
        <v>140</v>
      </c>
    </row>
    <row r="14" spans="1:14" x14ac:dyDescent="0.25">
      <c r="A14" s="109" t="s">
        <v>109</v>
      </c>
      <c r="B14" s="110" t="s">
        <v>119</v>
      </c>
      <c r="C14" s="111" t="s">
        <v>120</v>
      </c>
      <c r="D14" s="109" t="s">
        <v>113</v>
      </c>
      <c r="E14" s="110" t="s">
        <v>119</v>
      </c>
      <c r="F14" s="111" t="s">
        <v>120</v>
      </c>
      <c r="H14" s="224" t="s">
        <v>129</v>
      </c>
    </row>
    <row r="15" spans="1:14" ht="18" x14ac:dyDescent="0.25">
      <c r="A15" s="107" t="s">
        <v>117</v>
      </c>
      <c r="B15" s="112">
        <v>3898</v>
      </c>
      <c r="C15" s="113">
        <v>4466</v>
      </c>
      <c r="D15" s="107" t="s">
        <v>117</v>
      </c>
      <c r="E15" s="112">
        <v>4640</v>
      </c>
      <c r="F15" s="113">
        <v>4248</v>
      </c>
      <c r="H15" s="106"/>
      <c r="I15" s="106" t="s">
        <v>130</v>
      </c>
      <c r="J15" s="106" t="s">
        <v>131</v>
      </c>
      <c r="K15" s="226" t="s">
        <v>97</v>
      </c>
      <c r="L15" s="226" t="s">
        <v>98</v>
      </c>
      <c r="M15" s="226" t="s">
        <v>136</v>
      </c>
      <c r="N15" s="227"/>
    </row>
    <row r="16" spans="1:14" ht="15.75" thickBot="1" x14ac:dyDescent="0.3">
      <c r="A16" s="108" t="s">
        <v>118</v>
      </c>
      <c r="B16" s="114">
        <v>4139</v>
      </c>
      <c r="C16" s="115">
        <v>4693</v>
      </c>
      <c r="D16" s="108" t="s">
        <v>118</v>
      </c>
      <c r="E16" s="114">
        <v>4401</v>
      </c>
      <c r="F16" s="115">
        <v>4191</v>
      </c>
      <c r="H16" s="106" t="s">
        <v>109</v>
      </c>
      <c r="I16" s="106">
        <v>4019</v>
      </c>
      <c r="J16" s="106">
        <v>4580</v>
      </c>
      <c r="K16" s="106">
        <v>396.68690424565318</v>
      </c>
      <c r="L16" s="106">
        <v>793.37380849130636</v>
      </c>
      <c r="M16" s="190">
        <v>18.454845510381631</v>
      </c>
      <c r="N16" s="227"/>
    </row>
    <row r="17" spans="1:14" x14ac:dyDescent="0.25">
      <c r="A17" s="109" t="s">
        <v>110</v>
      </c>
      <c r="B17" s="110" t="s">
        <v>119</v>
      </c>
      <c r="C17" s="111" t="s">
        <v>120</v>
      </c>
      <c r="D17" s="109" t="s">
        <v>114</v>
      </c>
      <c r="E17" s="110" t="s">
        <v>119</v>
      </c>
      <c r="F17" s="111" t="s">
        <v>120</v>
      </c>
      <c r="H17" s="106" t="s">
        <v>110</v>
      </c>
      <c r="I17" s="106">
        <v>3952</v>
      </c>
      <c r="J17" s="106">
        <v>4164</v>
      </c>
      <c r="K17" s="106">
        <v>149.90663761154806</v>
      </c>
      <c r="L17" s="106">
        <v>299.81327522309613</v>
      </c>
      <c r="M17" s="190">
        <v>7.3891133758002745</v>
      </c>
      <c r="N17" s="227"/>
    </row>
    <row r="18" spans="1:14" x14ac:dyDescent="0.25">
      <c r="A18" s="107" t="s">
        <v>117</v>
      </c>
      <c r="B18" s="112">
        <v>3910</v>
      </c>
      <c r="C18" s="113">
        <v>4201</v>
      </c>
      <c r="D18" s="107" t="s">
        <v>117</v>
      </c>
      <c r="E18" s="112">
        <v>5182</v>
      </c>
      <c r="F18" s="113">
        <v>4662</v>
      </c>
      <c r="H18" s="106" t="s">
        <v>111</v>
      </c>
      <c r="I18" s="106">
        <v>5806</v>
      </c>
      <c r="J18" s="106">
        <v>3922</v>
      </c>
      <c r="K18" s="106">
        <v>1332.1891757554556</v>
      </c>
      <c r="L18" s="106">
        <v>2664.3783515109112</v>
      </c>
      <c r="M18" s="190">
        <v>54.783146941727381</v>
      </c>
      <c r="N18" s="227"/>
    </row>
    <row r="19" spans="1:14" ht="15.75" thickBot="1" x14ac:dyDescent="0.3">
      <c r="A19" s="108" t="s">
        <v>118</v>
      </c>
      <c r="B19" s="114">
        <v>3993</v>
      </c>
      <c r="C19" s="115">
        <v>4126</v>
      </c>
      <c r="D19" s="108" t="s">
        <v>118</v>
      </c>
      <c r="E19" s="114">
        <v>5023</v>
      </c>
      <c r="F19" s="115">
        <v>4839</v>
      </c>
      <c r="H19" s="106" t="s">
        <v>112</v>
      </c>
      <c r="I19" s="106">
        <v>4891</v>
      </c>
      <c r="J19" s="106">
        <v>5433</v>
      </c>
      <c r="K19" s="106">
        <v>383.25187540310878</v>
      </c>
      <c r="L19" s="106">
        <v>766.50375080621757</v>
      </c>
      <c r="M19" s="190">
        <v>14.848968438710141</v>
      </c>
      <c r="N19" s="227"/>
    </row>
    <row r="20" spans="1:14" x14ac:dyDescent="0.25">
      <c r="A20" s="109" t="s">
        <v>111</v>
      </c>
      <c r="B20" s="110" t="s">
        <v>119</v>
      </c>
      <c r="C20" s="111" t="s">
        <v>120</v>
      </c>
      <c r="D20" s="109" t="s">
        <v>115</v>
      </c>
      <c r="E20" s="110" t="s">
        <v>119</v>
      </c>
      <c r="F20" s="111" t="s">
        <v>120</v>
      </c>
      <c r="H20" s="106" t="s">
        <v>113</v>
      </c>
      <c r="I20" s="106">
        <v>4521</v>
      </c>
      <c r="J20" s="106">
        <v>4220</v>
      </c>
      <c r="K20" s="106">
        <v>212.83914113715082</v>
      </c>
      <c r="L20" s="106">
        <v>425.67828227430164</v>
      </c>
      <c r="M20" s="190">
        <v>9.7409217911739514</v>
      </c>
      <c r="N20" s="227"/>
    </row>
    <row r="21" spans="1:14" x14ac:dyDescent="0.25">
      <c r="A21" s="107" t="s">
        <v>117</v>
      </c>
      <c r="B21" s="112">
        <v>5708</v>
      </c>
      <c r="C21" s="113">
        <v>4061</v>
      </c>
      <c r="D21" s="107" t="s">
        <v>117</v>
      </c>
      <c r="E21" s="112">
        <v>3028</v>
      </c>
      <c r="F21" s="113">
        <v>3023</v>
      </c>
      <c r="H21" s="106" t="s">
        <v>114</v>
      </c>
      <c r="I21" s="106">
        <v>5103</v>
      </c>
      <c r="J21" s="106">
        <v>4751</v>
      </c>
      <c r="K21" s="106">
        <v>248.90158697766472</v>
      </c>
      <c r="L21" s="106">
        <v>497.80317395532944</v>
      </c>
      <c r="M21" s="190">
        <v>10.104601115504504</v>
      </c>
      <c r="N21" s="227"/>
    </row>
    <row r="22" spans="1:14" ht="15.75" thickBot="1" x14ac:dyDescent="0.3">
      <c r="A22" s="108" t="s">
        <v>118</v>
      </c>
      <c r="B22" s="114">
        <v>5903</v>
      </c>
      <c r="C22" s="115">
        <v>3782</v>
      </c>
      <c r="D22" s="108" t="s">
        <v>118</v>
      </c>
      <c r="E22" s="114">
        <v>3224</v>
      </c>
      <c r="F22" s="115">
        <v>2901</v>
      </c>
      <c r="H22" s="106" t="s">
        <v>115</v>
      </c>
      <c r="I22" s="106">
        <v>3126</v>
      </c>
      <c r="J22" s="106">
        <v>2962</v>
      </c>
      <c r="K22" s="106">
        <v>115.96551211459379</v>
      </c>
      <c r="L22" s="106">
        <v>231.93102422918759</v>
      </c>
      <c r="M22" s="190">
        <v>7.6192846330219322</v>
      </c>
      <c r="N22" s="227"/>
    </row>
    <row r="23" spans="1:14" x14ac:dyDescent="0.25">
      <c r="A23" s="109" t="s">
        <v>112</v>
      </c>
      <c r="B23" s="110" t="s">
        <v>119</v>
      </c>
      <c r="C23" s="111" t="s">
        <v>120</v>
      </c>
      <c r="D23" s="109" t="s">
        <v>116</v>
      </c>
      <c r="E23" s="110" t="s">
        <v>119</v>
      </c>
      <c r="F23" s="111" t="s">
        <v>120</v>
      </c>
      <c r="H23" s="106" t="s">
        <v>116</v>
      </c>
      <c r="I23" s="106">
        <v>4125</v>
      </c>
      <c r="J23" s="106">
        <v>3960</v>
      </c>
      <c r="K23" s="106">
        <v>116.67261889578035</v>
      </c>
      <c r="L23" s="106">
        <v>233.34523779156069</v>
      </c>
      <c r="M23" s="190">
        <v>5.7730142946947227</v>
      </c>
      <c r="N23" s="227"/>
    </row>
    <row r="24" spans="1:14" x14ac:dyDescent="0.25">
      <c r="A24" s="107" t="s">
        <v>117</v>
      </c>
      <c r="B24" s="112">
        <v>5028</v>
      </c>
      <c r="C24" s="113">
        <v>5450</v>
      </c>
      <c r="D24" s="107" t="s">
        <v>117</v>
      </c>
      <c r="E24" s="112">
        <v>3966</v>
      </c>
      <c r="F24" s="113">
        <v>4131</v>
      </c>
      <c r="L24" s="228" t="s">
        <v>132</v>
      </c>
    </row>
    <row r="25" spans="1:14" ht="15.75" thickBot="1" x14ac:dyDescent="0.3">
      <c r="A25" s="108" t="s">
        <v>118</v>
      </c>
      <c r="B25" s="114">
        <v>4754</v>
      </c>
      <c r="C25" s="115">
        <v>5416</v>
      </c>
      <c r="D25" s="108" t="s">
        <v>118</v>
      </c>
      <c r="E25" s="114">
        <v>4283</v>
      </c>
      <c r="F25" s="115">
        <v>3788</v>
      </c>
      <c r="L25" s="228" t="s">
        <v>134</v>
      </c>
      <c r="M25" s="229" t="s">
        <v>159</v>
      </c>
    </row>
    <row r="26" spans="1:14" x14ac:dyDescent="0.25">
      <c r="L26" s="230" t="s">
        <v>160</v>
      </c>
      <c r="M26" t="s">
        <v>161</v>
      </c>
    </row>
    <row r="27" spans="1:14" ht="18" customHeight="1" x14ac:dyDescent="0.25">
      <c r="L27" s="133" t="s">
        <v>180</v>
      </c>
      <c r="M27" s="134" t="s">
        <v>181</v>
      </c>
    </row>
    <row r="28" spans="1:14" ht="171" customHeight="1" x14ac:dyDescent="0.25">
      <c r="A28" s="134"/>
    </row>
    <row r="29" spans="1:14" ht="15" customHeight="1" thickBot="1" x14ac:dyDescent="0.3">
      <c r="A29" s="185"/>
      <c r="B29" s="185"/>
      <c r="C29" s="185"/>
      <c r="D29" s="185"/>
      <c r="E29" s="185"/>
      <c r="F29" s="185"/>
      <c r="G29" s="185"/>
      <c r="H29" s="185"/>
      <c r="I29" s="185"/>
      <c r="J29" s="185"/>
      <c r="K29" s="185"/>
      <c r="L29" s="185"/>
      <c r="M29" s="185"/>
      <c r="N29" s="185"/>
    </row>
    <row r="31" spans="1:14" x14ac:dyDescent="0.25">
      <c r="A31" t="s">
        <v>155</v>
      </c>
    </row>
    <row r="32" spans="1:14" x14ac:dyDescent="0.25">
      <c r="A32" s="105" t="s">
        <v>154</v>
      </c>
      <c r="B32" s="105"/>
      <c r="C32" s="105"/>
      <c r="D32" s="105"/>
      <c r="E32" s="105"/>
      <c r="F32" s="105"/>
      <c r="G32" s="105"/>
      <c r="H32" s="105"/>
      <c r="I32" s="105"/>
      <c r="J32" s="105"/>
      <c r="K32" s="105"/>
      <c r="L32" s="105"/>
      <c r="M32" s="105"/>
    </row>
    <row r="33" spans="1:14" x14ac:dyDescent="0.25">
      <c r="A33" s="123"/>
      <c r="B33" s="222" t="s">
        <v>108</v>
      </c>
      <c r="C33" s="222" t="s">
        <v>107</v>
      </c>
      <c r="D33" s="222" t="s">
        <v>106</v>
      </c>
      <c r="E33" s="119" t="s">
        <v>105</v>
      </c>
      <c r="H33" s="224" t="s">
        <v>122</v>
      </c>
    </row>
    <row r="34" spans="1:14" x14ac:dyDescent="0.25">
      <c r="A34" s="103" t="s">
        <v>109</v>
      </c>
      <c r="B34" s="112">
        <v>787</v>
      </c>
      <c r="C34" s="116">
        <v>769</v>
      </c>
      <c r="D34" s="116">
        <v>811</v>
      </c>
      <c r="E34" s="117">
        <v>780</v>
      </c>
      <c r="H34" s="129" t="s">
        <v>204</v>
      </c>
      <c r="I34" s="129"/>
      <c r="J34" s="124" t="s">
        <v>123</v>
      </c>
    </row>
    <row r="35" spans="1:14" x14ac:dyDescent="0.25">
      <c r="A35" s="103" t="s">
        <v>110</v>
      </c>
      <c r="B35" s="118">
        <v>338</v>
      </c>
      <c r="C35" s="222">
        <v>327</v>
      </c>
      <c r="D35" s="222">
        <v>651</v>
      </c>
      <c r="E35" s="119">
        <v>563</v>
      </c>
      <c r="H35" s="126" t="s">
        <v>126</v>
      </c>
      <c r="I35" s="125" t="s">
        <v>125</v>
      </c>
      <c r="J35" s="125" t="s">
        <v>124</v>
      </c>
      <c r="K35" s="128" t="s">
        <v>127</v>
      </c>
    </row>
    <row r="36" spans="1:14" x14ac:dyDescent="0.25">
      <c r="A36" s="103" t="s">
        <v>111</v>
      </c>
      <c r="B36" s="118">
        <v>289</v>
      </c>
      <c r="C36" s="222">
        <v>297</v>
      </c>
      <c r="D36" s="222">
        <v>211</v>
      </c>
      <c r="E36" s="119">
        <v>204</v>
      </c>
      <c r="F36" s="136"/>
      <c r="H36" s="130">
        <v>0.83289999999999997</v>
      </c>
      <c r="I36" s="130">
        <v>0.85229999999999995</v>
      </c>
      <c r="J36" s="130">
        <v>0.85229999999999995</v>
      </c>
      <c r="K36" s="131" t="s">
        <v>135</v>
      </c>
    </row>
    <row r="37" spans="1:14" x14ac:dyDescent="0.25">
      <c r="A37" s="103" t="s">
        <v>112</v>
      </c>
      <c r="B37" s="118">
        <v>662</v>
      </c>
      <c r="C37" s="222">
        <v>702</v>
      </c>
      <c r="D37" s="222">
        <v>238</v>
      </c>
      <c r="E37" s="119">
        <v>246</v>
      </c>
      <c r="H37" s="127" t="s">
        <v>128</v>
      </c>
      <c r="I37" s="127" t="s">
        <v>128</v>
      </c>
      <c r="J37" s="127" t="s">
        <v>128</v>
      </c>
      <c r="K37" t="s">
        <v>133</v>
      </c>
    </row>
    <row r="38" spans="1:14" x14ac:dyDescent="0.25">
      <c r="A38" s="103" t="s">
        <v>113</v>
      </c>
      <c r="B38" s="118">
        <v>229</v>
      </c>
      <c r="C38" s="222">
        <v>215</v>
      </c>
      <c r="D38" s="222">
        <v>208</v>
      </c>
      <c r="E38" s="119">
        <v>218</v>
      </c>
    </row>
    <row r="39" spans="1:14" x14ac:dyDescent="0.25">
      <c r="A39" s="103" t="s">
        <v>114</v>
      </c>
      <c r="B39" s="118">
        <v>346</v>
      </c>
      <c r="C39" s="222">
        <v>374</v>
      </c>
      <c r="D39" s="222">
        <v>525</v>
      </c>
      <c r="E39" s="119">
        <v>520</v>
      </c>
    </row>
    <row r="40" spans="1:14" x14ac:dyDescent="0.25">
      <c r="A40" s="103" t="s">
        <v>115</v>
      </c>
      <c r="B40" s="118">
        <v>324</v>
      </c>
      <c r="C40" s="222">
        <v>321</v>
      </c>
      <c r="D40" s="222">
        <v>77</v>
      </c>
      <c r="E40" s="119">
        <v>73</v>
      </c>
    </row>
    <row r="41" spans="1:14" x14ac:dyDescent="0.25">
      <c r="A41" s="103" t="s">
        <v>116</v>
      </c>
      <c r="B41" s="118">
        <v>56</v>
      </c>
      <c r="C41" s="222">
        <v>61</v>
      </c>
      <c r="D41" s="222">
        <v>116</v>
      </c>
      <c r="E41" s="119">
        <v>120</v>
      </c>
    </row>
    <row r="42" spans="1:14" x14ac:dyDescent="0.25">
      <c r="A42" s="103" t="s">
        <v>152</v>
      </c>
      <c r="B42" s="118">
        <v>189</v>
      </c>
      <c r="C42" s="222">
        <v>189</v>
      </c>
      <c r="D42" s="222">
        <v>176</v>
      </c>
      <c r="E42" s="119">
        <v>168</v>
      </c>
    </row>
    <row r="43" spans="1:14" x14ac:dyDescent="0.25">
      <c r="A43" s="104" t="s">
        <v>153</v>
      </c>
      <c r="B43" s="120">
        <v>61</v>
      </c>
      <c r="C43" s="121">
        <v>61</v>
      </c>
      <c r="D43" s="121">
        <v>91</v>
      </c>
      <c r="E43" s="122">
        <v>119</v>
      </c>
    </row>
    <row r="44" spans="1:14" x14ac:dyDescent="0.25">
      <c r="B44" s="222"/>
      <c r="C44" s="222"/>
      <c r="D44" s="222"/>
      <c r="E44" s="222"/>
    </row>
    <row r="45" spans="1:14" ht="21" customHeight="1" thickBot="1" x14ac:dyDescent="0.3">
      <c r="A45" s="225" t="s">
        <v>140</v>
      </c>
    </row>
    <row r="46" spans="1:14" x14ac:dyDescent="0.25">
      <c r="A46" s="109" t="s">
        <v>109</v>
      </c>
      <c r="B46" s="110" t="s">
        <v>119</v>
      </c>
      <c r="C46" s="111" t="s">
        <v>120</v>
      </c>
      <c r="D46" s="109" t="s">
        <v>114</v>
      </c>
      <c r="E46" s="110" t="s">
        <v>119</v>
      </c>
      <c r="F46" s="111" t="s">
        <v>120</v>
      </c>
      <c r="H46" s="224" t="s">
        <v>129</v>
      </c>
    </row>
    <row r="47" spans="1:14" ht="18" x14ac:dyDescent="0.25">
      <c r="A47" s="107" t="s">
        <v>117</v>
      </c>
      <c r="B47" s="112">
        <v>787</v>
      </c>
      <c r="C47" s="113">
        <v>811</v>
      </c>
      <c r="D47" s="107" t="s">
        <v>117</v>
      </c>
      <c r="E47" s="112">
        <v>346</v>
      </c>
      <c r="F47" s="113">
        <v>525</v>
      </c>
      <c r="H47" s="106"/>
      <c r="I47" s="106" t="s">
        <v>130</v>
      </c>
      <c r="J47" s="106" t="s">
        <v>131</v>
      </c>
      <c r="K47" s="226" t="s">
        <v>97</v>
      </c>
      <c r="L47" s="226" t="s">
        <v>98</v>
      </c>
      <c r="M47" s="226" t="s">
        <v>136</v>
      </c>
      <c r="N47" s="227"/>
    </row>
    <row r="48" spans="1:14" ht="15.75" thickBot="1" x14ac:dyDescent="0.3">
      <c r="A48" s="108" t="s">
        <v>118</v>
      </c>
      <c r="B48" s="114">
        <v>769</v>
      </c>
      <c r="C48" s="115">
        <v>780</v>
      </c>
      <c r="D48" s="108" t="s">
        <v>118</v>
      </c>
      <c r="E48" s="114">
        <v>374</v>
      </c>
      <c r="F48" s="115">
        <v>520</v>
      </c>
      <c r="H48" s="106" t="s">
        <v>109</v>
      </c>
      <c r="I48" s="106">
        <v>778</v>
      </c>
      <c r="J48" s="106">
        <v>796</v>
      </c>
      <c r="K48" s="106">
        <v>12.727922061357855</v>
      </c>
      <c r="L48" s="106">
        <v>25.45584412271571</v>
      </c>
      <c r="M48" s="190">
        <v>3.1456927030860076</v>
      </c>
      <c r="N48" s="134"/>
    </row>
    <row r="49" spans="1:14" x14ac:dyDescent="0.25">
      <c r="A49" s="109" t="s">
        <v>110</v>
      </c>
      <c r="B49" s="110" t="s">
        <v>119</v>
      </c>
      <c r="C49" s="111" t="s">
        <v>120</v>
      </c>
      <c r="D49" s="109" t="s">
        <v>115</v>
      </c>
      <c r="E49" s="110" t="s">
        <v>119</v>
      </c>
      <c r="F49" s="111" t="s">
        <v>120</v>
      </c>
      <c r="H49" s="106" t="s">
        <v>110</v>
      </c>
      <c r="I49" s="106">
        <v>333</v>
      </c>
      <c r="J49" s="106">
        <v>607</v>
      </c>
      <c r="K49" s="106">
        <v>193.74725804511402</v>
      </c>
      <c r="L49" s="106">
        <v>387.49451609022805</v>
      </c>
      <c r="M49" s="190">
        <v>82.640047444686445</v>
      </c>
      <c r="N49" s="134"/>
    </row>
    <row r="50" spans="1:14" x14ac:dyDescent="0.25">
      <c r="A50" s="107" t="s">
        <v>117</v>
      </c>
      <c r="B50" s="112">
        <v>338</v>
      </c>
      <c r="C50" s="113">
        <v>651</v>
      </c>
      <c r="D50" s="107" t="s">
        <v>117</v>
      </c>
      <c r="E50" s="112">
        <v>324</v>
      </c>
      <c r="F50" s="113">
        <v>77</v>
      </c>
      <c r="H50" s="106" t="s">
        <v>111</v>
      </c>
      <c r="I50" s="106">
        <v>293</v>
      </c>
      <c r="J50" s="106">
        <v>208</v>
      </c>
      <c r="K50" s="106">
        <v>60.104076400856542</v>
      </c>
      <c r="L50" s="106">
        <v>120.20815280171308</v>
      </c>
      <c r="M50" s="190">
        <v>48.31778604711274</v>
      </c>
      <c r="N50" s="134"/>
    </row>
    <row r="51" spans="1:14" ht="15.75" thickBot="1" x14ac:dyDescent="0.3">
      <c r="A51" s="108" t="s">
        <v>118</v>
      </c>
      <c r="B51" s="114">
        <v>327</v>
      </c>
      <c r="C51" s="115">
        <v>563</v>
      </c>
      <c r="D51" s="108" t="s">
        <v>118</v>
      </c>
      <c r="E51" s="114">
        <v>321</v>
      </c>
      <c r="F51" s="115">
        <v>73</v>
      </c>
      <c r="H51" s="106" t="s">
        <v>112</v>
      </c>
      <c r="I51" s="106">
        <v>682</v>
      </c>
      <c r="J51" s="106">
        <v>242</v>
      </c>
      <c r="K51" s="106">
        <v>311.12698372208092</v>
      </c>
      <c r="L51" s="106">
        <v>622.25396744416184</v>
      </c>
      <c r="M51" s="190">
        <v>134.68700594029477</v>
      </c>
      <c r="N51" s="134"/>
    </row>
    <row r="52" spans="1:14" x14ac:dyDescent="0.25">
      <c r="A52" s="109" t="s">
        <v>111</v>
      </c>
      <c r="B52" s="110" t="s">
        <v>119</v>
      </c>
      <c r="C52" s="111" t="s">
        <v>120</v>
      </c>
      <c r="D52" s="109" t="s">
        <v>116</v>
      </c>
      <c r="E52" s="110" t="s">
        <v>119</v>
      </c>
      <c r="F52" s="111" t="s">
        <v>120</v>
      </c>
      <c r="H52" s="106" t="s">
        <v>113</v>
      </c>
      <c r="I52" s="106">
        <v>222</v>
      </c>
      <c r="J52" s="106">
        <v>213</v>
      </c>
      <c r="K52" s="106">
        <v>6.3639610306789276</v>
      </c>
      <c r="L52" s="106">
        <v>12.727922061357855</v>
      </c>
      <c r="M52" s="190">
        <v>5.851918189130048</v>
      </c>
      <c r="N52" s="134"/>
    </row>
    <row r="53" spans="1:14" x14ac:dyDescent="0.25">
      <c r="A53" s="107" t="s">
        <v>117</v>
      </c>
      <c r="B53" s="112">
        <v>289</v>
      </c>
      <c r="C53" s="113">
        <v>211</v>
      </c>
      <c r="D53" s="107" t="s">
        <v>117</v>
      </c>
      <c r="E53" s="112">
        <v>56</v>
      </c>
      <c r="F53" s="113">
        <v>116</v>
      </c>
      <c r="H53" s="106" t="s">
        <v>114</v>
      </c>
      <c r="I53" s="106">
        <v>360</v>
      </c>
      <c r="J53" s="106">
        <v>523</v>
      </c>
      <c r="K53" s="106">
        <v>115.25840533340725</v>
      </c>
      <c r="L53" s="106">
        <v>230.51681066681451</v>
      </c>
      <c r="M53" s="190">
        <v>52.081519294193299</v>
      </c>
      <c r="N53" s="134"/>
    </row>
    <row r="54" spans="1:14" ht="15.75" thickBot="1" x14ac:dyDescent="0.3">
      <c r="A54" s="108" t="s">
        <v>118</v>
      </c>
      <c r="B54" s="114">
        <v>297</v>
      </c>
      <c r="C54" s="115">
        <v>204</v>
      </c>
      <c r="D54" s="108" t="s">
        <v>118</v>
      </c>
      <c r="E54" s="114">
        <v>61</v>
      </c>
      <c r="F54" s="115">
        <v>120</v>
      </c>
      <c r="H54" s="106" t="s">
        <v>115</v>
      </c>
      <c r="I54" s="106">
        <v>323</v>
      </c>
      <c r="J54" s="106">
        <v>75</v>
      </c>
      <c r="K54" s="106">
        <v>175.36248173426378</v>
      </c>
      <c r="L54" s="106">
        <v>350.72496346852756</v>
      </c>
      <c r="M54" s="190">
        <v>176.10961342759296</v>
      </c>
      <c r="N54" s="134"/>
    </row>
    <row r="55" spans="1:14" x14ac:dyDescent="0.25">
      <c r="A55" s="109" t="s">
        <v>112</v>
      </c>
      <c r="B55" s="110" t="s">
        <v>119</v>
      </c>
      <c r="C55" s="111" t="s">
        <v>120</v>
      </c>
      <c r="D55" s="109" t="s">
        <v>152</v>
      </c>
      <c r="E55" s="187" t="s">
        <v>119</v>
      </c>
      <c r="F55" s="188" t="s">
        <v>120</v>
      </c>
      <c r="H55" s="106" t="s">
        <v>116</v>
      </c>
      <c r="I55" s="106">
        <v>59</v>
      </c>
      <c r="J55" s="106">
        <v>118</v>
      </c>
      <c r="K55" s="106">
        <v>41.719300090006307</v>
      </c>
      <c r="L55" s="106">
        <v>83.438600180012614</v>
      </c>
      <c r="M55" s="190">
        <v>95.349243015523115</v>
      </c>
      <c r="N55" s="134"/>
    </row>
    <row r="56" spans="1:14" x14ac:dyDescent="0.25">
      <c r="A56" s="107" t="s">
        <v>117</v>
      </c>
      <c r="B56" s="112">
        <v>662</v>
      </c>
      <c r="C56" s="113">
        <v>238</v>
      </c>
      <c r="D56" s="186" t="s">
        <v>117</v>
      </c>
      <c r="E56" s="222">
        <v>189</v>
      </c>
      <c r="F56" s="189">
        <v>176</v>
      </c>
      <c r="H56" s="106" t="s">
        <v>152</v>
      </c>
      <c r="I56" s="106">
        <v>189</v>
      </c>
      <c r="J56" s="106">
        <v>172</v>
      </c>
      <c r="K56" s="106">
        <v>12.020815280171307</v>
      </c>
      <c r="L56" s="106">
        <v>24.041630560342615</v>
      </c>
      <c r="M56" s="190">
        <v>13.319462914317237</v>
      </c>
      <c r="N56" s="134"/>
    </row>
    <row r="57" spans="1:14" ht="15.75" thickBot="1" x14ac:dyDescent="0.3">
      <c r="A57" s="108" t="s">
        <v>118</v>
      </c>
      <c r="B57" s="114">
        <v>702</v>
      </c>
      <c r="C57" s="115">
        <v>246</v>
      </c>
      <c r="D57" s="108" t="s">
        <v>118</v>
      </c>
      <c r="E57" s="114">
        <v>189</v>
      </c>
      <c r="F57" s="115">
        <v>168</v>
      </c>
      <c r="H57" s="106" t="s">
        <v>153</v>
      </c>
      <c r="I57" s="106">
        <v>61</v>
      </c>
      <c r="J57" s="106">
        <v>105</v>
      </c>
      <c r="K57" s="106">
        <v>31.11269837220809</v>
      </c>
      <c r="L57" s="106">
        <v>62.22539674441618</v>
      </c>
      <c r="M57" s="190">
        <v>74.970357523392977</v>
      </c>
      <c r="N57" s="134"/>
    </row>
    <row r="58" spans="1:14" x14ac:dyDescent="0.25">
      <c r="A58" s="109" t="s">
        <v>113</v>
      </c>
      <c r="B58" s="187" t="s">
        <v>119</v>
      </c>
      <c r="C58" s="188" t="s">
        <v>120</v>
      </c>
      <c r="D58" s="109" t="s">
        <v>153</v>
      </c>
      <c r="E58" s="187" t="s">
        <v>119</v>
      </c>
      <c r="F58" s="188" t="s">
        <v>120</v>
      </c>
    </row>
    <row r="59" spans="1:14" x14ac:dyDescent="0.25">
      <c r="A59" s="186" t="s">
        <v>117</v>
      </c>
      <c r="B59" s="222">
        <v>229</v>
      </c>
      <c r="C59" s="222">
        <v>208</v>
      </c>
      <c r="D59" s="186" t="s">
        <v>117</v>
      </c>
      <c r="E59" s="222">
        <v>61</v>
      </c>
      <c r="F59" s="189">
        <v>91</v>
      </c>
      <c r="L59" s="228" t="s">
        <v>132</v>
      </c>
    </row>
    <row r="60" spans="1:14" ht="15.75" thickBot="1" x14ac:dyDescent="0.3">
      <c r="A60" s="108" t="s">
        <v>118</v>
      </c>
      <c r="B60" s="114">
        <v>215</v>
      </c>
      <c r="C60" s="115">
        <v>218</v>
      </c>
      <c r="D60" s="108" t="s">
        <v>118</v>
      </c>
      <c r="E60" s="114">
        <v>61</v>
      </c>
      <c r="F60" s="115">
        <v>119</v>
      </c>
      <c r="L60" s="228" t="s">
        <v>134</v>
      </c>
      <c r="M60" s="229" t="s">
        <v>162</v>
      </c>
    </row>
    <row r="61" spans="1:14" x14ac:dyDescent="0.25">
      <c r="L61" s="230" t="s">
        <v>163</v>
      </c>
      <c r="M61" t="s">
        <v>164</v>
      </c>
    </row>
    <row r="62" spans="1:14" ht="111" customHeight="1" x14ac:dyDescent="0.25">
      <c r="L62" s="230"/>
    </row>
    <row r="63" spans="1:14" ht="15.75" thickBot="1" x14ac:dyDescent="0.3">
      <c r="A63" s="185"/>
      <c r="B63" s="185"/>
      <c r="C63" s="185"/>
      <c r="D63" s="185"/>
      <c r="E63" s="185"/>
      <c r="F63" s="185"/>
      <c r="G63" s="185"/>
      <c r="H63" s="185"/>
      <c r="I63" s="185"/>
      <c r="J63" s="185"/>
      <c r="K63" s="185"/>
      <c r="L63" s="185"/>
      <c r="M63" s="185"/>
      <c r="N63" s="185"/>
    </row>
    <row r="65" spans="1:14" x14ac:dyDescent="0.25">
      <c r="A65" t="s">
        <v>158</v>
      </c>
    </row>
    <row r="66" spans="1:14" x14ac:dyDescent="0.25">
      <c r="A66" s="105" t="s">
        <v>157</v>
      </c>
      <c r="B66" s="105"/>
      <c r="C66" s="105"/>
      <c r="D66" s="105"/>
      <c r="E66" s="105"/>
      <c r="F66" s="105"/>
      <c r="G66" s="105"/>
      <c r="H66" s="105"/>
      <c r="I66" s="105"/>
      <c r="J66" s="105"/>
      <c r="K66" s="105"/>
      <c r="L66" s="105"/>
      <c r="M66" s="105"/>
    </row>
    <row r="67" spans="1:14" x14ac:dyDescent="0.25">
      <c r="A67" s="123"/>
      <c r="B67" s="222" t="s">
        <v>108</v>
      </c>
      <c r="C67" s="222" t="s">
        <v>107</v>
      </c>
      <c r="D67" s="222" t="s">
        <v>106</v>
      </c>
      <c r="E67" s="119" t="s">
        <v>105</v>
      </c>
      <c r="H67" s="224" t="s">
        <v>122</v>
      </c>
    </row>
    <row r="68" spans="1:14" x14ac:dyDescent="0.25">
      <c r="A68" s="103" t="s">
        <v>109</v>
      </c>
      <c r="B68" s="112">
        <v>0.81499999999999995</v>
      </c>
      <c r="C68" s="116">
        <v>0.83399999999999996</v>
      </c>
      <c r="D68" s="116">
        <v>0.91200000000000003</v>
      </c>
      <c r="E68" s="117">
        <v>0.89300000000000002</v>
      </c>
      <c r="H68" s="129" t="s">
        <v>204</v>
      </c>
      <c r="I68" s="129"/>
      <c r="J68" s="124" t="s">
        <v>123</v>
      </c>
    </row>
    <row r="69" spans="1:14" x14ac:dyDescent="0.25">
      <c r="A69" s="103" t="s">
        <v>110</v>
      </c>
      <c r="B69" s="118">
        <v>1.8</v>
      </c>
      <c r="C69" s="222">
        <v>1.83</v>
      </c>
      <c r="D69" s="222">
        <v>1.94</v>
      </c>
      <c r="E69" s="119">
        <v>1.93</v>
      </c>
      <c r="H69" s="126" t="s">
        <v>126</v>
      </c>
      <c r="I69" s="125" t="s">
        <v>125</v>
      </c>
      <c r="J69" s="125" t="s">
        <v>124</v>
      </c>
      <c r="K69" s="128" t="s">
        <v>127</v>
      </c>
    </row>
    <row r="70" spans="1:14" x14ac:dyDescent="0.25">
      <c r="A70" s="103" t="s">
        <v>111</v>
      </c>
      <c r="B70" s="118">
        <v>1.69</v>
      </c>
      <c r="C70" s="222">
        <v>1.68</v>
      </c>
      <c r="D70" s="222">
        <v>1.79</v>
      </c>
      <c r="E70" s="119">
        <v>1.77</v>
      </c>
      <c r="F70" s="136"/>
      <c r="H70" s="130">
        <v>9.9599999999999994E-2</v>
      </c>
      <c r="I70" s="130">
        <v>9.6199999999999994E-2</v>
      </c>
      <c r="J70" s="130">
        <v>9.6199999999999994E-2</v>
      </c>
      <c r="K70" s="131" t="s">
        <v>135</v>
      </c>
    </row>
    <row r="71" spans="1:14" x14ac:dyDescent="0.25">
      <c r="A71" s="103" t="s">
        <v>112</v>
      </c>
      <c r="B71" s="118">
        <v>2.62</v>
      </c>
      <c r="C71" s="222">
        <v>2.61</v>
      </c>
      <c r="D71" s="222">
        <v>2.83</v>
      </c>
      <c r="E71" s="119">
        <v>2.84</v>
      </c>
      <c r="H71" s="127" t="s">
        <v>128</v>
      </c>
      <c r="I71" s="127" t="s">
        <v>128</v>
      </c>
      <c r="J71" s="127" t="s">
        <v>128</v>
      </c>
      <c r="K71" t="s">
        <v>133</v>
      </c>
    </row>
    <row r="72" spans="1:14" x14ac:dyDescent="0.25">
      <c r="A72" s="103" t="s">
        <v>113</v>
      </c>
      <c r="B72" s="118">
        <v>1.66</v>
      </c>
      <c r="C72" s="222">
        <v>1.63</v>
      </c>
      <c r="D72" s="222">
        <v>1.58</v>
      </c>
      <c r="E72" s="119">
        <v>1.59</v>
      </c>
    </row>
    <row r="73" spans="1:14" x14ac:dyDescent="0.25">
      <c r="A73" s="103" t="s">
        <v>114</v>
      </c>
      <c r="B73" s="118">
        <v>1.52</v>
      </c>
      <c r="C73" s="222">
        <v>1.53</v>
      </c>
      <c r="D73" s="222">
        <v>1.47</v>
      </c>
      <c r="E73" s="119">
        <v>1.5</v>
      </c>
    </row>
    <row r="74" spans="1:14" x14ac:dyDescent="0.25">
      <c r="A74" s="103" t="s">
        <v>115</v>
      </c>
      <c r="B74" s="118"/>
      <c r="C74" s="222"/>
      <c r="D74" s="222"/>
      <c r="E74" s="119"/>
    </row>
    <row r="75" spans="1:14" x14ac:dyDescent="0.25">
      <c r="A75" s="104" t="s">
        <v>116</v>
      </c>
      <c r="B75" s="120"/>
      <c r="C75" s="121"/>
      <c r="D75" s="121"/>
      <c r="E75" s="122"/>
    </row>
    <row r="76" spans="1:14" x14ac:dyDescent="0.25">
      <c r="B76" s="222"/>
      <c r="C76" s="222"/>
      <c r="D76" s="222"/>
      <c r="E76" s="222"/>
    </row>
    <row r="77" spans="1:14" ht="21" customHeight="1" thickBot="1" x14ac:dyDescent="0.3">
      <c r="A77" s="225" t="s">
        <v>140</v>
      </c>
    </row>
    <row r="78" spans="1:14" x14ac:dyDescent="0.25">
      <c r="A78" s="109" t="s">
        <v>109</v>
      </c>
      <c r="B78" s="110" t="s">
        <v>119</v>
      </c>
      <c r="C78" s="111" t="s">
        <v>120</v>
      </c>
      <c r="D78" s="109" t="s">
        <v>112</v>
      </c>
      <c r="E78" s="110" t="s">
        <v>119</v>
      </c>
      <c r="F78" s="111" t="s">
        <v>120</v>
      </c>
      <c r="H78" s="224" t="s">
        <v>129</v>
      </c>
    </row>
    <row r="79" spans="1:14" ht="18" x14ac:dyDescent="0.25">
      <c r="A79" s="107" t="s">
        <v>117</v>
      </c>
      <c r="B79" s="112">
        <v>0.81499999999999995</v>
      </c>
      <c r="C79" s="113">
        <v>0.91200000000000003</v>
      </c>
      <c r="D79" s="107" t="s">
        <v>117</v>
      </c>
      <c r="E79" s="112">
        <v>2.62</v>
      </c>
      <c r="F79" s="113">
        <v>2.83</v>
      </c>
      <c r="H79" s="106"/>
      <c r="I79" s="106" t="s">
        <v>130</v>
      </c>
      <c r="J79" s="106" t="s">
        <v>131</v>
      </c>
      <c r="K79" s="226" t="s">
        <v>97</v>
      </c>
      <c r="L79" s="226" t="s">
        <v>98</v>
      </c>
      <c r="M79" s="226" t="s">
        <v>136</v>
      </c>
      <c r="N79" s="227"/>
    </row>
    <row r="80" spans="1:14" ht="15.75" thickBot="1" x14ac:dyDescent="0.3">
      <c r="A80" s="108" t="s">
        <v>118</v>
      </c>
      <c r="B80" s="114">
        <v>0.83399999999999996</v>
      </c>
      <c r="C80" s="115">
        <v>0.89300000000000002</v>
      </c>
      <c r="D80" s="108" t="s">
        <v>118</v>
      </c>
      <c r="E80" s="114">
        <v>2.61</v>
      </c>
      <c r="F80" s="115">
        <v>2.84</v>
      </c>
      <c r="H80" s="106" t="s">
        <v>109</v>
      </c>
      <c r="I80" s="106">
        <v>0.82499999999999996</v>
      </c>
      <c r="J80" s="106">
        <v>0.90300000000000002</v>
      </c>
      <c r="K80" s="106">
        <v>5.5154328932550754E-2</v>
      </c>
      <c r="L80" s="106">
        <v>0.11030865786510151</v>
      </c>
      <c r="M80" s="190">
        <v>12.77459847887684</v>
      </c>
      <c r="N80" s="134"/>
    </row>
    <row r="81" spans="1:14" x14ac:dyDescent="0.25">
      <c r="A81" s="109" t="s">
        <v>110</v>
      </c>
      <c r="B81" s="110" t="s">
        <v>119</v>
      </c>
      <c r="C81" s="111" t="s">
        <v>120</v>
      </c>
      <c r="D81" s="109" t="s">
        <v>113</v>
      </c>
      <c r="E81" s="110" t="s">
        <v>119</v>
      </c>
      <c r="F81" s="111" t="s">
        <v>120</v>
      </c>
      <c r="H81" s="106" t="s">
        <v>110</v>
      </c>
      <c r="I81" s="106">
        <v>1.82</v>
      </c>
      <c r="J81" s="106">
        <v>1.94</v>
      </c>
      <c r="K81" s="106">
        <v>8.4852813742385624E-2</v>
      </c>
      <c r="L81" s="106">
        <v>0.16970562748477125</v>
      </c>
      <c r="M81" s="190">
        <v>9.0509667991878171</v>
      </c>
      <c r="N81" s="134"/>
    </row>
    <row r="82" spans="1:14" x14ac:dyDescent="0.25">
      <c r="A82" s="107" t="s">
        <v>117</v>
      </c>
      <c r="B82" s="112">
        <v>1.8</v>
      </c>
      <c r="C82" s="113">
        <v>1.94</v>
      </c>
      <c r="D82" s="107" t="s">
        <v>117</v>
      </c>
      <c r="E82" s="112">
        <v>1.66</v>
      </c>
      <c r="F82" s="113">
        <v>1.58</v>
      </c>
      <c r="H82" s="106" t="s">
        <v>111</v>
      </c>
      <c r="I82" s="106">
        <v>1.69</v>
      </c>
      <c r="J82" s="106">
        <v>1.78</v>
      </c>
      <c r="K82" s="106">
        <v>6.3639610306789343E-2</v>
      </c>
      <c r="L82" s="106">
        <v>0.12727922061357869</v>
      </c>
      <c r="M82" s="190">
        <v>7.7547064026230306</v>
      </c>
      <c r="N82" s="134"/>
    </row>
    <row r="83" spans="1:14" ht="15.75" thickBot="1" x14ac:dyDescent="0.3">
      <c r="A83" s="108" t="s">
        <v>118</v>
      </c>
      <c r="B83" s="114">
        <v>1.83</v>
      </c>
      <c r="C83" s="115">
        <v>1.93</v>
      </c>
      <c r="D83" s="108" t="s">
        <v>118</v>
      </c>
      <c r="E83" s="114">
        <v>1.63</v>
      </c>
      <c r="F83" s="115">
        <v>1.59</v>
      </c>
      <c r="H83" s="106" t="s">
        <v>112</v>
      </c>
      <c r="I83" s="106">
        <v>2.62</v>
      </c>
      <c r="J83" s="106">
        <v>2.84</v>
      </c>
      <c r="K83" s="106">
        <v>0.15556349186104027</v>
      </c>
      <c r="L83" s="106">
        <v>0.31112698372208053</v>
      </c>
      <c r="M83" s="190">
        <v>11.417503989801119</v>
      </c>
      <c r="N83" s="134"/>
    </row>
    <row r="84" spans="1:14" x14ac:dyDescent="0.25">
      <c r="A84" s="109" t="s">
        <v>111</v>
      </c>
      <c r="B84" s="110" t="s">
        <v>119</v>
      </c>
      <c r="C84" s="111" t="s">
        <v>120</v>
      </c>
      <c r="D84" s="109" t="s">
        <v>114</v>
      </c>
      <c r="E84" s="110" t="s">
        <v>119</v>
      </c>
      <c r="F84" s="111" t="s">
        <v>120</v>
      </c>
      <c r="H84" s="106" t="s">
        <v>113</v>
      </c>
      <c r="I84" s="106">
        <v>1.65</v>
      </c>
      <c r="J84" s="106">
        <v>1.59</v>
      </c>
      <c r="K84" s="106">
        <v>4.2426406871192736E-2</v>
      </c>
      <c r="L84" s="106">
        <v>8.4852813742385472E-2</v>
      </c>
      <c r="M84" s="190">
        <v>5.2540441945749707</v>
      </c>
      <c r="N84" s="134"/>
    </row>
    <row r="85" spans="1:14" x14ac:dyDescent="0.25">
      <c r="A85" s="107" t="s">
        <v>117</v>
      </c>
      <c r="B85" s="112">
        <v>1.69</v>
      </c>
      <c r="C85" s="113">
        <v>1.79</v>
      </c>
      <c r="D85" s="107" t="s">
        <v>117</v>
      </c>
      <c r="E85" s="112">
        <v>1.52</v>
      </c>
      <c r="F85" s="113">
        <v>1.47</v>
      </c>
      <c r="H85" s="106" t="s">
        <v>114</v>
      </c>
      <c r="I85" s="106">
        <v>1.53</v>
      </c>
      <c r="J85" s="106">
        <v>1.49</v>
      </c>
      <c r="K85" s="106">
        <v>2.8284271247461926E-2</v>
      </c>
      <c r="L85" s="106">
        <v>5.6568542494923851E-2</v>
      </c>
      <c r="M85" s="190">
        <v>3.7587071425198579</v>
      </c>
      <c r="N85" s="134"/>
    </row>
    <row r="86" spans="1:14" ht="15.75" thickBot="1" x14ac:dyDescent="0.3">
      <c r="A86" s="108" t="s">
        <v>118</v>
      </c>
      <c r="B86" s="114">
        <v>1.68</v>
      </c>
      <c r="C86" s="115">
        <v>1.77</v>
      </c>
      <c r="D86" s="108" t="s">
        <v>118</v>
      </c>
      <c r="E86" s="114">
        <v>1.53</v>
      </c>
      <c r="F86" s="115">
        <v>1.5</v>
      </c>
    </row>
    <row r="87" spans="1:14" x14ac:dyDescent="0.25">
      <c r="L87" s="228" t="s">
        <v>132</v>
      </c>
    </row>
    <row r="88" spans="1:14" ht="15.75" thickBot="1" x14ac:dyDescent="0.3">
      <c r="L88" s="228" t="s">
        <v>134</v>
      </c>
      <c r="M88" s="229" t="s">
        <v>182</v>
      </c>
    </row>
    <row r="89" spans="1:14" ht="15.75" thickTop="1" x14ac:dyDescent="0.25">
      <c r="L89" s="230" t="s">
        <v>165</v>
      </c>
      <c r="M89" t="s">
        <v>166</v>
      </c>
    </row>
    <row r="90" spans="1:14" ht="62.25" customHeight="1" x14ac:dyDescent="0.25">
      <c r="L90" s="230"/>
    </row>
    <row r="91" spans="1:14" ht="15.75" thickBot="1" x14ac:dyDescent="0.3">
      <c r="A91" s="185"/>
      <c r="B91" s="185"/>
      <c r="C91" s="185"/>
      <c r="D91" s="185"/>
      <c r="E91" s="185"/>
      <c r="F91" s="185"/>
      <c r="G91" s="185"/>
      <c r="H91" s="185"/>
      <c r="I91" s="185"/>
      <c r="J91" s="185"/>
      <c r="K91" s="185"/>
      <c r="L91" s="185"/>
      <c r="M91" s="185"/>
      <c r="N91" s="185"/>
    </row>
    <row r="93" spans="1:14" x14ac:dyDescent="0.25">
      <c r="A93" t="s">
        <v>167</v>
      </c>
    </row>
    <row r="94" spans="1:14" x14ac:dyDescent="0.25">
      <c r="A94" s="105" t="s">
        <v>168</v>
      </c>
      <c r="B94" s="105"/>
      <c r="C94" s="105"/>
      <c r="D94" s="105"/>
      <c r="E94" s="105"/>
      <c r="F94" s="105"/>
      <c r="G94" s="105"/>
      <c r="H94" s="105"/>
      <c r="I94" s="105"/>
      <c r="J94" s="105"/>
      <c r="K94" s="105"/>
      <c r="L94" s="105"/>
      <c r="M94" s="105"/>
    </row>
    <row r="95" spans="1:14" x14ac:dyDescent="0.25">
      <c r="A95" s="123"/>
      <c r="B95" s="222" t="s">
        <v>108</v>
      </c>
      <c r="C95" s="222" t="s">
        <v>107</v>
      </c>
      <c r="D95" s="222" t="s">
        <v>106</v>
      </c>
      <c r="E95" s="119" t="s">
        <v>105</v>
      </c>
      <c r="H95" s="224" t="s">
        <v>122</v>
      </c>
    </row>
    <row r="96" spans="1:14" x14ac:dyDescent="0.25">
      <c r="A96" s="103" t="s">
        <v>109</v>
      </c>
      <c r="B96" s="112">
        <v>400</v>
      </c>
      <c r="C96" s="116">
        <v>491</v>
      </c>
      <c r="D96" s="116">
        <v>323</v>
      </c>
      <c r="E96" s="117">
        <v>355</v>
      </c>
      <c r="H96" s="129" t="s">
        <v>204</v>
      </c>
      <c r="I96" s="129"/>
      <c r="J96" s="124" t="s">
        <v>123</v>
      </c>
    </row>
    <row r="97" spans="1:14" x14ac:dyDescent="0.25">
      <c r="A97" s="103" t="s">
        <v>110</v>
      </c>
      <c r="B97" s="118">
        <v>413</v>
      </c>
      <c r="C97" s="222">
        <v>159</v>
      </c>
      <c r="D97" s="222">
        <v>392</v>
      </c>
      <c r="E97" s="119">
        <v>434</v>
      </c>
      <c r="H97" s="126" t="s">
        <v>126</v>
      </c>
      <c r="I97" s="125" t="s">
        <v>125</v>
      </c>
      <c r="J97" s="125" t="s">
        <v>124</v>
      </c>
      <c r="K97" s="128" t="s">
        <v>127</v>
      </c>
    </row>
    <row r="98" spans="1:14" x14ac:dyDescent="0.25">
      <c r="A98" s="103" t="s">
        <v>111</v>
      </c>
      <c r="B98" s="118">
        <v>315</v>
      </c>
      <c r="C98" s="222">
        <v>391</v>
      </c>
      <c r="D98" s="222">
        <v>252</v>
      </c>
      <c r="E98" s="119">
        <v>454</v>
      </c>
      <c r="F98" s="136"/>
      <c r="H98" s="130">
        <v>0.13789999999999999</v>
      </c>
      <c r="I98" s="130">
        <v>0</v>
      </c>
      <c r="J98" s="130">
        <v>0</v>
      </c>
      <c r="K98" s="131" t="s">
        <v>135</v>
      </c>
    </row>
    <row r="99" spans="1:14" x14ac:dyDescent="0.25">
      <c r="A99" s="103" t="s">
        <v>112</v>
      </c>
      <c r="B99" s="118">
        <v>223</v>
      </c>
      <c r="C99" s="222">
        <v>220</v>
      </c>
      <c r="D99" s="222">
        <v>357</v>
      </c>
      <c r="E99" s="119">
        <v>469</v>
      </c>
      <c r="F99" s="134"/>
      <c r="H99" s="127" t="s">
        <v>128</v>
      </c>
      <c r="I99" s="127" t="s">
        <v>128</v>
      </c>
      <c r="J99" s="127" t="s">
        <v>128</v>
      </c>
      <c r="K99" t="s">
        <v>133</v>
      </c>
    </row>
    <row r="100" spans="1:14" x14ac:dyDescent="0.25">
      <c r="A100" s="103" t="s">
        <v>113</v>
      </c>
      <c r="B100" s="118">
        <v>462</v>
      </c>
      <c r="C100" s="222">
        <v>343</v>
      </c>
      <c r="D100" s="222">
        <v>262</v>
      </c>
      <c r="E100" s="119">
        <v>293</v>
      </c>
    </row>
    <row r="101" spans="1:14" x14ac:dyDescent="0.25">
      <c r="A101" s="103" t="s">
        <v>114</v>
      </c>
      <c r="B101" s="118">
        <v>353</v>
      </c>
      <c r="C101" s="222">
        <v>265</v>
      </c>
      <c r="D101" s="222">
        <v>305</v>
      </c>
      <c r="E101" s="119">
        <v>456</v>
      </c>
    </row>
    <row r="102" spans="1:14" x14ac:dyDescent="0.25">
      <c r="A102" s="103" t="s">
        <v>115</v>
      </c>
      <c r="B102" s="118">
        <v>298</v>
      </c>
      <c r="C102" s="222">
        <v>234</v>
      </c>
      <c r="D102" s="222">
        <v>152</v>
      </c>
      <c r="E102" s="119">
        <v>323</v>
      </c>
    </row>
    <row r="103" spans="1:14" x14ac:dyDescent="0.25">
      <c r="A103" s="103" t="s">
        <v>116</v>
      </c>
      <c r="B103" s="118">
        <v>425</v>
      </c>
      <c r="C103" s="222">
        <v>263</v>
      </c>
      <c r="D103" s="222">
        <v>417</v>
      </c>
      <c r="E103" s="119">
        <v>353</v>
      </c>
    </row>
    <row r="104" spans="1:14" x14ac:dyDescent="0.25">
      <c r="A104" s="103" t="s">
        <v>152</v>
      </c>
      <c r="B104" s="118">
        <v>622</v>
      </c>
      <c r="C104" s="222">
        <v>189</v>
      </c>
      <c r="D104" s="222">
        <v>291</v>
      </c>
      <c r="E104" s="119">
        <v>272</v>
      </c>
    </row>
    <row r="105" spans="1:14" x14ac:dyDescent="0.25">
      <c r="A105" s="104" t="s">
        <v>153</v>
      </c>
      <c r="B105" s="120">
        <v>292</v>
      </c>
      <c r="C105" s="121">
        <v>397</v>
      </c>
      <c r="D105" s="121">
        <v>142</v>
      </c>
      <c r="E105" s="122">
        <v>568</v>
      </c>
    </row>
    <row r="106" spans="1:14" x14ac:dyDescent="0.25">
      <c r="B106" s="222"/>
      <c r="C106" s="222"/>
      <c r="D106" s="222"/>
      <c r="E106" s="222"/>
    </row>
    <row r="107" spans="1:14" ht="21" customHeight="1" thickBot="1" x14ac:dyDescent="0.3">
      <c r="A107" s="225" t="s">
        <v>140</v>
      </c>
    </row>
    <row r="108" spans="1:14" x14ac:dyDescent="0.25">
      <c r="A108" s="109" t="s">
        <v>109</v>
      </c>
      <c r="B108" s="110" t="s">
        <v>119</v>
      </c>
      <c r="C108" s="111" t="s">
        <v>120</v>
      </c>
      <c r="D108" s="109" t="s">
        <v>114</v>
      </c>
      <c r="E108" s="110" t="s">
        <v>119</v>
      </c>
      <c r="F108" s="111" t="s">
        <v>120</v>
      </c>
      <c r="H108" s="224" t="s">
        <v>129</v>
      </c>
    </row>
    <row r="109" spans="1:14" ht="18" x14ac:dyDescent="0.25">
      <c r="A109" s="107" t="s">
        <v>117</v>
      </c>
      <c r="B109" s="112">
        <v>400</v>
      </c>
      <c r="C109" s="113">
        <v>323</v>
      </c>
      <c r="D109" s="107" t="s">
        <v>117</v>
      </c>
      <c r="E109" s="112">
        <v>353</v>
      </c>
      <c r="F109" s="113">
        <v>305</v>
      </c>
      <c r="H109" s="106"/>
      <c r="I109" s="106" t="s">
        <v>130</v>
      </c>
      <c r="J109" s="106" t="s">
        <v>131</v>
      </c>
      <c r="K109" s="226" t="s">
        <v>97</v>
      </c>
      <c r="L109" s="226" t="s">
        <v>98</v>
      </c>
      <c r="M109" s="226" t="s">
        <v>136</v>
      </c>
      <c r="N109" s="227"/>
    </row>
    <row r="110" spans="1:14" ht="15.75" thickBot="1" x14ac:dyDescent="0.3">
      <c r="A110" s="108" t="s">
        <v>118</v>
      </c>
      <c r="B110" s="114">
        <v>491</v>
      </c>
      <c r="C110" s="115">
        <v>355</v>
      </c>
      <c r="D110" s="108" t="s">
        <v>118</v>
      </c>
      <c r="E110" s="114">
        <v>265</v>
      </c>
      <c r="F110" s="115">
        <v>456</v>
      </c>
      <c r="H110" s="106" t="s">
        <v>109</v>
      </c>
      <c r="I110" s="106">
        <v>446</v>
      </c>
      <c r="J110" s="106">
        <v>339</v>
      </c>
      <c r="K110" s="106">
        <v>75.660425586960585</v>
      </c>
      <c r="L110" s="106">
        <v>151.32085117392117</v>
      </c>
      <c r="M110" s="190">
        <v>38.397385441105065</v>
      </c>
      <c r="N110" s="134"/>
    </row>
    <row r="111" spans="1:14" x14ac:dyDescent="0.25">
      <c r="A111" s="109" t="s">
        <v>110</v>
      </c>
      <c r="B111" s="110" t="s">
        <v>119</v>
      </c>
      <c r="C111" s="111" t="s">
        <v>120</v>
      </c>
      <c r="D111" s="109" t="s">
        <v>115</v>
      </c>
      <c r="E111" s="110" t="s">
        <v>119</v>
      </c>
      <c r="F111" s="111" t="s">
        <v>120</v>
      </c>
      <c r="H111" s="106" t="s">
        <v>110</v>
      </c>
      <c r="I111" s="106">
        <v>286</v>
      </c>
      <c r="J111" s="106">
        <v>413</v>
      </c>
      <c r="K111" s="106">
        <v>89.802561210691536</v>
      </c>
      <c r="L111" s="106">
        <v>179.60512242138307</v>
      </c>
      <c r="M111" s="190">
        <v>51.389162352327055</v>
      </c>
      <c r="N111" s="134"/>
    </row>
    <row r="112" spans="1:14" x14ac:dyDescent="0.25">
      <c r="A112" s="107" t="s">
        <v>117</v>
      </c>
      <c r="B112" s="112">
        <v>413</v>
      </c>
      <c r="C112" s="113">
        <v>392</v>
      </c>
      <c r="D112" s="107" t="s">
        <v>117</v>
      </c>
      <c r="E112" s="112">
        <v>298</v>
      </c>
      <c r="F112" s="113">
        <v>152</v>
      </c>
      <c r="H112" s="106" t="s">
        <v>111</v>
      </c>
      <c r="I112" s="106">
        <v>353</v>
      </c>
      <c r="J112" s="106">
        <v>353</v>
      </c>
      <c r="K112" s="106">
        <v>0</v>
      </c>
      <c r="L112" s="106">
        <v>0</v>
      </c>
      <c r="M112" s="190">
        <v>0</v>
      </c>
      <c r="N112" s="134"/>
    </row>
    <row r="113" spans="1:14" ht="15.75" thickBot="1" x14ac:dyDescent="0.3">
      <c r="A113" s="108" t="s">
        <v>118</v>
      </c>
      <c r="B113" s="114">
        <v>159</v>
      </c>
      <c r="C113" s="115">
        <v>434</v>
      </c>
      <c r="D113" s="108" t="s">
        <v>118</v>
      </c>
      <c r="E113" s="114">
        <v>234</v>
      </c>
      <c r="F113" s="115">
        <v>323</v>
      </c>
      <c r="H113" s="106" t="s">
        <v>112</v>
      </c>
      <c r="I113" s="106">
        <v>222</v>
      </c>
      <c r="J113" s="106">
        <v>413</v>
      </c>
      <c r="K113" s="106">
        <v>135.05739520663059</v>
      </c>
      <c r="L113" s="106">
        <v>270.11479041326118</v>
      </c>
      <c r="M113" s="190">
        <v>85.365452228352325</v>
      </c>
      <c r="N113" s="134"/>
    </row>
    <row r="114" spans="1:14" x14ac:dyDescent="0.25">
      <c r="A114" s="109" t="s">
        <v>111</v>
      </c>
      <c r="B114" s="110" t="s">
        <v>119</v>
      </c>
      <c r="C114" s="111" t="s">
        <v>120</v>
      </c>
      <c r="D114" s="109" t="s">
        <v>116</v>
      </c>
      <c r="E114" s="110" t="s">
        <v>119</v>
      </c>
      <c r="F114" s="111" t="s">
        <v>120</v>
      </c>
      <c r="H114" s="106" t="s">
        <v>113</v>
      </c>
      <c r="I114" s="106">
        <v>403</v>
      </c>
      <c r="J114" s="106">
        <v>278</v>
      </c>
      <c r="K114" s="106">
        <v>88.388347648318444</v>
      </c>
      <c r="L114" s="106">
        <v>176.77669529663689</v>
      </c>
      <c r="M114" s="190">
        <v>51.993145675481436</v>
      </c>
      <c r="N114" s="134"/>
    </row>
    <row r="115" spans="1:14" x14ac:dyDescent="0.25">
      <c r="A115" s="107" t="s">
        <v>117</v>
      </c>
      <c r="B115" s="112">
        <v>315</v>
      </c>
      <c r="C115" s="113">
        <v>252</v>
      </c>
      <c r="D115" s="107" t="s">
        <v>117</v>
      </c>
      <c r="E115" s="112">
        <v>425</v>
      </c>
      <c r="F115" s="113">
        <v>417</v>
      </c>
      <c r="H115" s="106" t="s">
        <v>114</v>
      </c>
      <c r="I115" s="106">
        <v>309</v>
      </c>
      <c r="J115" s="106">
        <v>381</v>
      </c>
      <c r="K115" s="106">
        <v>50.911688245431421</v>
      </c>
      <c r="L115" s="106">
        <v>101.82337649086284</v>
      </c>
      <c r="M115" s="190">
        <v>29.330317537252011</v>
      </c>
      <c r="N115" s="134"/>
    </row>
    <row r="116" spans="1:14" ht="15.75" thickBot="1" x14ac:dyDescent="0.3">
      <c r="A116" s="108" t="s">
        <v>118</v>
      </c>
      <c r="B116" s="114">
        <v>391</v>
      </c>
      <c r="C116" s="115">
        <v>454</v>
      </c>
      <c r="D116" s="108" t="s">
        <v>118</v>
      </c>
      <c r="E116" s="114">
        <v>263</v>
      </c>
      <c r="F116" s="115">
        <v>353</v>
      </c>
      <c r="H116" s="106" t="s">
        <v>115</v>
      </c>
      <c r="I116" s="106">
        <v>266</v>
      </c>
      <c r="J116" s="106">
        <v>238</v>
      </c>
      <c r="K116" s="106">
        <v>19.798989873223331</v>
      </c>
      <c r="L116" s="106">
        <v>39.597979746446661</v>
      </c>
      <c r="M116" s="190">
        <v>16.009964857053905</v>
      </c>
      <c r="N116" s="134"/>
    </row>
    <row r="117" spans="1:14" x14ac:dyDescent="0.25">
      <c r="A117" s="109" t="s">
        <v>112</v>
      </c>
      <c r="B117" s="110" t="s">
        <v>119</v>
      </c>
      <c r="C117" s="111" t="s">
        <v>120</v>
      </c>
      <c r="D117" s="109" t="s">
        <v>152</v>
      </c>
      <c r="E117" s="187" t="s">
        <v>119</v>
      </c>
      <c r="F117" s="188" t="s">
        <v>120</v>
      </c>
      <c r="H117" s="106" t="s">
        <v>116</v>
      </c>
      <c r="I117" s="106">
        <v>344</v>
      </c>
      <c r="J117" s="106">
        <v>385</v>
      </c>
      <c r="K117" s="106">
        <v>28.991378028648448</v>
      </c>
      <c r="L117" s="106">
        <v>57.982756057296896</v>
      </c>
      <c r="M117" s="190">
        <v>15.907477656322881</v>
      </c>
      <c r="N117" s="134"/>
    </row>
    <row r="118" spans="1:14" x14ac:dyDescent="0.25">
      <c r="A118" s="107" t="s">
        <v>117</v>
      </c>
      <c r="B118" s="112">
        <v>223</v>
      </c>
      <c r="C118" s="113">
        <v>357</v>
      </c>
      <c r="D118" s="186" t="s">
        <v>117</v>
      </c>
      <c r="E118" s="222">
        <v>622</v>
      </c>
      <c r="F118" s="189">
        <v>291</v>
      </c>
      <c r="H118" s="106" t="s">
        <v>152</v>
      </c>
      <c r="I118" s="106">
        <v>406</v>
      </c>
      <c r="J118" s="106">
        <v>282</v>
      </c>
      <c r="K118" s="106">
        <v>87.681240867131891</v>
      </c>
      <c r="L118" s="106">
        <v>175.36248173426378</v>
      </c>
      <c r="M118" s="190">
        <v>51.051668627151024</v>
      </c>
      <c r="N118" s="134"/>
    </row>
    <row r="119" spans="1:14" ht="15.75" thickBot="1" x14ac:dyDescent="0.3">
      <c r="A119" s="108" t="s">
        <v>118</v>
      </c>
      <c r="B119" s="114">
        <v>220</v>
      </c>
      <c r="C119" s="115">
        <v>469</v>
      </c>
      <c r="D119" s="108" t="s">
        <v>118</v>
      </c>
      <c r="E119" s="114">
        <v>189</v>
      </c>
      <c r="F119" s="115">
        <v>272</v>
      </c>
      <c r="H119" s="106" t="s">
        <v>153</v>
      </c>
      <c r="I119" s="106">
        <v>345</v>
      </c>
      <c r="J119" s="106">
        <v>355</v>
      </c>
      <c r="K119" s="106">
        <v>7.0710678118654755</v>
      </c>
      <c r="L119" s="106">
        <v>14.142135623730951</v>
      </c>
      <c r="M119" s="190">
        <v>4.2456733109127942</v>
      </c>
      <c r="N119" s="134"/>
    </row>
    <row r="120" spans="1:14" x14ac:dyDescent="0.25">
      <c r="A120" s="109" t="s">
        <v>113</v>
      </c>
      <c r="B120" s="187" t="s">
        <v>119</v>
      </c>
      <c r="C120" s="188" t="s">
        <v>120</v>
      </c>
      <c r="D120" s="109" t="s">
        <v>153</v>
      </c>
      <c r="E120" s="187" t="s">
        <v>119</v>
      </c>
      <c r="F120" s="188" t="s">
        <v>120</v>
      </c>
    </row>
    <row r="121" spans="1:14" x14ac:dyDescent="0.25">
      <c r="A121" s="186" t="s">
        <v>117</v>
      </c>
      <c r="B121" s="222">
        <v>462</v>
      </c>
      <c r="C121" s="222">
        <v>262</v>
      </c>
      <c r="D121" s="186" t="s">
        <v>117</v>
      </c>
      <c r="E121" s="222">
        <v>292</v>
      </c>
      <c r="F121" s="189">
        <v>142</v>
      </c>
      <c r="L121" s="228" t="s">
        <v>132</v>
      </c>
    </row>
    <row r="122" spans="1:14" ht="15.75" thickBot="1" x14ac:dyDescent="0.3">
      <c r="A122" s="108" t="s">
        <v>118</v>
      </c>
      <c r="B122" s="114">
        <v>343</v>
      </c>
      <c r="C122" s="115">
        <v>293</v>
      </c>
      <c r="D122" s="108" t="s">
        <v>118</v>
      </c>
      <c r="E122" s="114">
        <v>397</v>
      </c>
      <c r="F122" s="115">
        <v>568</v>
      </c>
      <c r="L122" s="228" t="s">
        <v>134</v>
      </c>
      <c r="M122" s="229" t="s">
        <v>183</v>
      </c>
    </row>
    <row r="123" spans="1:14" x14ac:dyDescent="0.25">
      <c r="L123" s="230" t="s">
        <v>184</v>
      </c>
      <c r="M123" s="231">
        <v>0.53</v>
      </c>
    </row>
    <row r="124" spans="1:14" ht="113.25" customHeight="1" x14ac:dyDescent="0.25">
      <c r="L124" s="230"/>
      <c r="M124" s="231"/>
    </row>
    <row r="125" spans="1:14" ht="15.75" thickBot="1" x14ac:dyDescent="0.3">
      <c r="A125" s="185"/>
      <c r="B125" s="185"/>
      <c r="C125" s="185"/>
      <c r="D125" s="185"/>
      <c r="E125" s="185"/>
      <c r="F125" s="185"/>
      <c r="G125" s="185"/>
      <c r="H125" s="185"/>
      <c r="I125" s="185"/>
      <c r="J125" s="185"/>
      <c r="K125" s="185"/>
      <c r="L125" s="185"/>
      <c r="M125" s="185"/>
      <c r="N125" s="185"/>
    </row>
  </sheetData>
  <sheetProtection sheet="1" objects="1" scenarios="1"/>
  <pageMargins left="0.7" right="0.7" top="0.78740157499999996" bottom="0.78740157499999996"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Spielfeld 10 PN und Doppelbest.</vt:lpstr>
      <vt:lpstr>Deckblatt</vt:lpstr>
      <vt:lpstr>U-Probenahme</vt:lpstr>
      <vt:lpstr>Kombinationen</vt:lpstr>
      <vt:lpstr>U-Probenahme_Validierung</vt:lpstr>
      <vt:lpstr>Notizen</vt:lpstr>
      <vt:lpstr>Vergleichsdatensatz</vt:lpstr>
      <vt:lpstr>'U-Probenahme'!Druckbereich</vt:lpstr>
      <vt:lpstr>'U-Probenahme_Validierung'!Druckbereich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Alpers</dc:creator>
  <cp:lastModifiedBy>Alpers</cp:lastModifiedBy>
  <cp:lastPrinted>2023-12-02T06:38:46Z</cp:lastPrinted>
  <dcterms:created xsi:type="dcterms:W3CDTF">2019-06-22T13:09:45Z</dcterms:created>
  <dcterms:modified xsi:type="dcterms:W3CDTF">2024-02-19T18:07:47Z</dcterms:modified>
</cp:coreProperties>
</file>