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1775" tabRatio="879" activeTab="0"/>
  </bookViews>
  <sheets>
    <sheet name="Deckblatt" sheetId="1" r:id="rId1"/>
    <sheet name="Anleitung zum Ausfüllen des QMR" sheetId="2" r:id="rId2"/>
    <sheet name="Ermittlung der Nennmasse" sheetId="3" r:id="rId3"/>
    <sheet name="Waagenprüfung" sheetId="4" r:id="rId4"/>
    <sheet name="Darstellung_ U abs" sheetId="5" r:id="rId5"/>
    <sheet name="Formular-Massestück" sheetId="6" r:id="rId6"/>
    <sheet name="Formular-Waagenprüfung" sheetId="7" r:id="rId7"/>
    <sheet name="Korrektur-Wägewert" sheetId="8" r:id="rId8"/>
    <sheet name="Notizen" sheetId="9" r:id="rId9"/>
    <sheet name="Prüfdatensatz" sheetId="10" r:id="rId10"/>
    <sheet name="Fehlergrenzklassen-Massestücke" sheetId="11" r:id="rId11"/>
  </sheets>
  <externalReferences>
    <externalReference r:id="rId14"/>
    <externalReference r:id="rId15"/>
    <externalReference r:id="rId16"/>
    <externalReference r:id="rId17"/>
    <externalReference r:id="rId18"/>
  </externalReferences>
  <definedNames>
    <definedName name="a" localSheetId="2">#REF!</definedName>
    <definedName name="a">#REF!</definedName>
    <definedName name="aq" localSheetId="2">#REF!</definedName>
    <definedName name="aq">#REF!</definedName>
    <definedName name="b" localSheetId="2">#REF!</definedName>
    <definedName name="b">#REF!</definedName>
    <definedName name="bq" localSheetId="2">#REF!</definedName>
    <definedName name="bq">#REF!</definedName>
    <definedName name="cq" localSheetId="2">#REF!</definedName>
    <definedName name="cq">#REF!</definedName>
    <definedName name="_xlnm.Print_Area" localSheetId="1">'Anleitung zum Ausfüllen des QMR'!$A$1:$A$34</definedName>
    <definedName name="_xlnm.Print_Area" localSheetId="2">'Ermittlung der Nennmasse'!$A$1:$J$40</definedName>
    <definedName name="_xlnm.Print_Area" localSheetId="10">'Fehlergrenzklassen-Massestücke'!$A$1:$H$38</definedName>
    <definedName name="_xlnm.Print_Area" localSheetId="6">'Formular-Waagenprüfung'!$A$1:$J$49</definedName>
    <definedName name="_xlnm.Print_Area" localSheetId="3">'Waagenprüfung'!$A$1:$J$72</definedName>
    <definedName name="EGa" localSheetId="2">#REF!</definedName>
    <definedName name="EGa">#REF!</definedName>
    <definedName name="EGb" localSheetId="2">#REF!</definedName>
    <definedName name="EGb">#REF!</definedName>
    <definedName name="fn" localSheetId="2">#REF!</definedName>
    <definedName name="fn">#REF!</definedName>
    <definedName name="fz" localSheetId="2">#REF!</definedName>
    <definedName name="fz">#REF!</definedName>
    <definedName name="Informationswerte" localSheetId="2">#REF!</definedName>
    <definedName name="Informationswerte">#REF!</definedName>
    <definedName name="Konzentrationswerte" localSheetId="2">#REF!</definedName>
    <definedName name="Konzentrationswerte">#REF!</definedName>
    <definedName name="M" localSheetId="2">#REF!</definedName>
    <definedName name="M">#REF!</definedName>
    <definedName name="MW" localSheetId="2">#REF!</definedName>
    <definedName name="MW">#REF!</definedName>
    <definedName name="My" localSheetId="2">#REF!</definedName>
    <definedName name="My">#REF!</definedName>
    <definedName name="N" localSheetId="2">#REF!</definedName>
    <definedName name="N">#REF!</definedName>
    <definedName name="NGa" localSheetId="2">#REF!</definedName>
    <definedName name="NGa">#REF!</definedName>
    <definedName name="NGb" localSheetId="2">#REF!</definedName>
    <definedName name="NGb">#REF!</definedName>
    <definedName name="otest" localSheetId="2">'[5]Arbeitsbereich'!$D$10:$D$19</definedName>
    <definedName name="otest">'[2]Arbeitsbereich'!$D$10:$D$19</definedName>
    <definedName name="ovar" localSheetId="2">'[5]Grubbs'!$E$7</definedName>
    <definedName name="ovar">'[2]Grubbs'!$E$7</definedName>
    <definedName name="Qx" localSheetId="2">#REF!</definedName>
    <definedName name="Qx">#REF!</definedName>
    <definedName name="sx0" localSheetId="2">#REF!</definedName>
    <definedName name="sx0">#REF!</definedName>
    <definedName name="syx" localSheetId="2">#REF!</definedName>
    <definedName name="syx">#REF!</definedName>
    <definedName name="t" localSheetId="2">#REF!</definedName>
    <definedName name="t">#REF!</definedName>
    <definedName name="tz" localSheetId="2">#REF!</definedName>
    <definedName name="tz">#REF!</definedName>
    <definedName name="utest" localSheetId="2">'[5]Arbeitsbereich'!$C$10:$C$19</definedName>
    <definedName name="utest">'[2]Arbeitsbereich'!$C$10:$C$19</definedName>
    <definedName name="uvar" localSheetId="2">'[5]Grubbs'!$D$7</definedName>
    <definedName name="uvar">'[2]Grubbs'!$D$7</definedName>
    <definedName name="vleer" localSheetId="2">'[5]Arbeitsbereich'!$C$22</definedName>
    <definedName name="vleer">'[2]Arbeitsbereich'!$C$22</definedName>
    <definedName name="xdaten" localSheetId="2">#REF!</definedName>
    <definedName name="xdaten">#REF!</definedName>
    <definedName name="xmittel" localSheetId="2">#REF!</definedName>
    <definedName name="xmittel">#REF!</definedName>
    <definedName name="y_1" localSheetId="0">'[4]Allgemeines Beispiel'!#REF!</definedName>
    <definedName name="y_1" localSheetId="2">'[4]Allgemeines Beispiel'!#REF!</definedName>
    <definedName name="y_1" localSheetId="10">'[4]Allgemeines Beispiel'!#REF!</definedName>
    <definedName name="y_1" localSheetId="5">'[4]Allgemeines Beispiel'!#REF!</definedName>
    <definedName name="y_1" localSheetId="6">'[4]Allgemeines Beispiel'!#REF!</definedName>
    <definedName name="y_1" localSheetId="7">'[4]Allgemeines Beispiel'!#REF!</definedName>
    <definedName name="y_1" localSheetId="8">'[4]Allgemeines Beispiel'!#REF!</definedName>
    <definedName name="y_1" localSheetId="9">'[4]Allgemeines Beispiel'!#REF!</definedName>
    <definedName name="y_1">'[3]Allgemeines Beispiel'!#REF!</definedName>
    <definedName name="y_10" localSheetId="0">'[4]Allgemeines Beispiel'!#REF!</definedName>
    <definedName name="y_10" localSheetId="2">'[4]Allgemeines Beispiel'!#REF!</definedName>
    <definedName name="y_10" localSheetId="10">'[4]Allgemeines Beispiel'!#REF!</definedName>
    <definedName name="y_10" localSheetId="5">'[4]Allgemeines Beispiel'!#REF!</definedName>
    <definedName name="y_10" localSheetId="6">'[4]Allgemeines Beispiel'!#REF!</definedName>
    <definedName name="y_10" localSheetId="7">'[4]Allgemeines Beispiel'!#REF!</definedName>
    <definedName name="y_10" localSheetId="8">'[4]Allgemeines Beispiel'!#REF!</definedName>
    <definedName name="y_10" localSheetId="9">'[4]Allgemeines Beispiel'!#REF!</definedName>
    <definedName name="y_10">'[3]Allgemeines Beispiel'!#REF!</definedName>
    <definedName name="y_2" localSheetId="0">'[4]Allgemeines Beispiel'!#REF!</definedName>
    <definedName name="y_2" localSheetId="2">'[4]Allgemeines Beispiel'!#REF!</definedName>
    <definedName name="y_2" localSheetId="10">'[4]Allgemeines Beispiel'!#REF!</definedName>
    <definedName name="y_2" localSheetId="5">'[4]Allgemeines Beispiel'!#REF!</definedName>
    <definedName name="y_2" localSheetId="6">'[4]Allgemeines Beispiel'!#REF!</definedName>
    <definedName name="y_2" localSheetId="7">'[4]Allgemeines Beispiel'!#REF!</definedName>
    <definedName name="y_2" localSheetId="8">'[4]Allgemeines Beispiel'!#REF!</definedName>
    <definedName name="y_2" localSheetId="9">'[4]Allgemeines Beispiel'!#REF!</definedName>
    <definedName name="y_2">'[3]Allgemeines Beispiel'!#REF!</definedName>
    <definedName name="y_3" localSheetId="0">'[4]Allgemeines Beispiel'!#REF!</definedName>
    <definedName name="y_3" localSheetId="2">'[4]Allgemeines Beispiel'!#REF!</definedName>
    <definedName name="y_3" localSheetId="10">'[4]Allgemeines Beispiel'!#REF!</definedName>
    <definedName name="y_3" localSheetId="5">'[4]Allgemeines Beispiel'!#REF!</definedName>
    <definedName name="y_3" localSheetId="6">'[4]Allgemeines Beispiel'!#REF!</definedName>
    <definedName name="y_3" localSheetId="7">'[4]Allgemeines Beispiel'!#REF!</definedName>
    <definedName name="y_3" localSheetId="8">'[4]Allgemeines Beispiel'!#REF!</definedName>
    <definedName name="y_3" localSheetId="9">'[4]Allgemeines Beispiel'!#REF!</definedName>
    <definedName name="y_3">'[3]Allgemeines Beispiel'!#REF!</definedName>
    <definedName name="y_4" localSheetId="0">'[4]Allgemeines Beispiel'!#REF!</definedName>
    <definedName name="y_4" localSheetId="2">'[4]Allgemeines Beispiel'!#REF!</definedName>
    <definedName name="y_4" localSheetId="10">'[4]Allgemeines Beispiel'!#REF!</definedName>
    <definedName name="y_4" localSheetId="5">'[4]Allgemeines Beispiel'!#REF!</definedName>
    <definedName name="y_4" localSheetId="6">'[4]Allgemeines Beispiel'!#REF!</definedName>
    <definedName name="y_4" localSheetId="7">'[4]Allgemeines Beispiel'!#REF!</definedName>
    <definedName name="y_4" localSheetId="8">'[4]Allgemeines Beispiel'!#REF!</definedName>
    <definedName name="y_4" localSheetId="9">'[4]Allgemeines Beispiel'!#REF!</definedName>
    <definedName name="y_4">'[3]Allgemeines Beispiel'!#REF!</definedName>
    <definedName name="y_5" localSheetId="0">'[4]Allgemeines Beispiel'!#REF!</definedName>
    <definedName name="y_5" localSheetId="2">'[4]Allgemeines Beispiel'!#REF!</definedName>
    <definedName name="y_5" localSheetId="10">'[4]Allgemeines Beispiel'!#REF!</definedName>
    <definedName name="y_5" localSheetId="5">'[4]Allgemeines Beispiel'!#REF!</definedName>
    <definedName name="y_5" localSheetId="6">'[4]Allgemeines Beispiel'!#REF!</definedName>
    <definedName name="y_5" localSheetId="7">'[4]Allgemeines Beispiel'!#REF!</definedName>
    <definedName name="y_5" localSheetId="8">'[4]Allgemeines Beispiel'!#REF!</definedName>
    <definedName name="y_5" localSheetId="9">'[4]Allgemeines Beispiel'!#REF!</definedName>
    <definedName name="y_5">'[3]Allgemeines Beispiel'!#REF!</definedName>
    <definedName name="y_6" localSheetId="0">'[4]Allgemeines Beispiel'!#REF!</definedName>
    <definedName name="y_6" localSheetId="2">'[4]Allgemeines Beispiel'!#REF!</definedName>
    <definedName name="y_6" localSheetId="10">'[4]Allgemeines Beispiel'!#REF!</definedName>
    <definedName name="y_6" localSheetId="5">'[4]Allgemeines Beispiel'!#REF!</definedName>
    <definedName name="y_6" localSheetId="6">'[4]Allgemeines Beispiel'!#REF!</definedName>
    <definedName name="y_6" localSheetId="7">'[4]Allgemeines Beispiel'!#REF!</definedName>
    <definedName name="y_6" localSheetId="8">'[4]Allgemeines Beispiel'!#REF!</definedName>
    <definedName name="y_6" localSheetId="9">'[4]Allgemeines Beispiel'!#REF!</definedName>
    <definedName name="y_6">'[3]Allgemeines Beispiel'!#REF!</definedName>
    <definedName name="y_7" localSheetId="0">'[4]Allgemeines Beispiel'!#REF!</definedName>
    <definedName name="y_7" localSheetId="2">'[4]Allgemeines Beispiel'!#REF!</definedName>
    <definedName name="y_7" localSheetId="10">'[4]Allgemeines Beispiel'!#REF!</definedName>
    <definedName name="y_7" localSheetId="5">'[4]Allgemeines Beispiel'!#REF!</definedName>
    <definedName name="y_7" localSheetId="6">'[4]Allgemeines Beispiel'!#REF!</definedName>
    <definedName name="y_7" localSheetId="7">'[4]Allgemeines Beispiel'!#REF!</definedName>
    <definedName name="y_7" localSheetId="8">'[4]Allgemeines Beispiel'!#REF!</definedName>
    <definedName name="y_7" localSheetId="9">'[4]Allgemeines Beispiel'!#REF!</definedName>
    <definedName name="y_7">'[3]Allgemeines Beispiel'!#REF!</definedName>
    <definedName name="y_8" localSheetId="0">'[4]Allgemeines Beispiel'!#REF!</definedName>
    <definedName name="y_8" localSheetId="2">'[4]Allgemeines Beispiel'!#REF!</definedName>
    <definedName name="y_8" localSheetId="10">'[4]Allgemeines Beispiel'!#REF!</definedName>
    <definedName name="y_8" localSheetId="5">'[4]Allgemeines Beispiel'!#REF!</definedName>
    <definedName name="y_8" localSheetId="6">'[4]Allgemeines Beispiel'!#REF!</definedName>
    <definedName name="y_8" localSheetId="7">'[4]Allgemeines Beispiel'!#REF!</definedName>
    <definedName name="y_8" localSheetId="8">'[4]Allgemeines Beispiel'!#REF!</definedName>
    <definedName name="y_8" localSheetId="9">'[4]Allgemeines Beispiel'!#REF!</definedName>
    <definedName name="y_8">'[3]Allgemeines Beispiel'!#REF!</definedName>
    <definedName name="y_9" localSheetId="0">'[4]Allgemeines Beispiel'!#REF!</definedName>
    <definedName name="y_9" localSheetId="2">'[4]Allgemeines Beispiel'!#REF!</definedName>
    <definedName name="y_9" localSheetId="10">'[4]Allgemeines Beispiel'!#REF!</definedName>
    <definedName name="y_9" localSheetId="5">'[4]Allgemeines Beispiel'!#REF!</definedName>
    <definedName name="y_9" localSheetId="6">'[4]Allgemeines Beispiel'!#REF!</definedName>
    <definedName name="y_9" localSheetId="7">'[4]Allgemeines Beispiel'!#REF!</definedName>
    <definedName name="y_9" localSheetId="8">'[4]Allgemeines Beispiel'!#REF!</definedName>
    <definedName name="y_9" localSheetId="9">'[4]Allgemeines Beispiel'!#REF!</definedName>
    <definedName name="y_9">'[3]Allgemeines Beispiel'!#REF!</definedName>
    <definedName name="ydaten" localSheetId="2">#REF!</definedName>
    <definedName name="ydaten">#REF!</definedName>
    <definedName name="ymittel" localSheetId="2">#REF!</definedName>
    <definedName name="ymittel">#REF!</definedName>
  </definedNames>
  <calcPr fullCalcOnLoad="1"/>
</workbook>
</file>

<file path=xl/comments4.xml><?xml version="1.0" encoding="utf-8"?>
<comments xmlns="http://schemas.openxmlformats.org/spreadsheetml/2006/main">
  <authors>
    <author>LA</author>
    <author>Alpers Lars (LAG-A)</author>
  </authors>
  <commentList>
    <comment ref="M34" authorId="0">
      <text>
        <r>
          <rPr>
            <b/>
            <sz val="9"/>
            <rFont val="Tahoma"/>
            <family val="2"/>
          </rPr>
          <t>LA:</t>
        </r>
        <r>
          <rPr>
            <sz val="9"/>
            <rFont val="Tahoma"/>
            <family val="2"/>
          </rPr>
          <t xml:space="preserve">
Zeilenhöhe auf mindestens 0,6 einstellen, damit die grafische Darstellung der absoluten Unsicherheitsbudgets funktioniert!</t>
        </r>
      </text>
    </comment>
    <comment ref="H1" authorId="1">
      <text>
        <r>
          <rPr>
            <u val="single"/>
            <sz val="9"/>
            <rFont val="Segoe UI"/>
            <family val="2"/>
          </rPr>
          <t>Aktualisierung am 24.04.2015:</t>
        </r>
        <r>
          <rPr>
            <sz val="9"/>
            <rFont val="Segoe UI"/>
            <family val="2"/>
          </rPr>
          <t xml:space="preserve">
Revisionsnummer eingefügt und FGK auf F2 (mindestens jedoch das Fünffache der Ablesbarkeit d) festgelegt. Zudem wurden die Meldungen zu unvollständigen bzw. fehlerhaften Angaben angepasst.
…
Freigabefeld für Laborleitung in Fußbereich eingefügt.
Rundung der Prüflasten entspr. FGK eingefügt.
Formatierung der Werte R,1 bis R,5 sowie Prüflast und U,Prüflast in "Text" und nachfolgende Umformartierung in Zahlen eingefügt, um Anzeige endständiger Nullen zu ermöglichen.
</t>
        </r>
        <r>
          <rPr>
            <u val="single"/>
            <sz val="9"/>
            <rFont val="Segoe UI"/>
            <family val="2"/>
          </rPr>
          <t>Aktualisierung am 29.09.2015</t>
        </r>
        <r>
          <rPr>
            <sz val="9"/>
            <rFont val="Segoe UI"/>
            <family val="2"/>
          </rPr>
          <t xml:space="preserve">
Fehler in der Diagrammdarstellung im Tabellenblatt "Darstellung_ U abs" korrigiert.
Die Inhalte des Tabellenblattes "Waagenprüfung" sind hiervon nicht beeinflusst. Al
</t>
        </r>
        <r>
          <rPr>
            <u val="single"/>
            <sz val="9"/>
            <rFont val="Segoe UI"/>
            <family val="2"/>
          </rPr>
          <t>Aktualisierung am 12.10.2015</t>
        </r>
        <r>
          <rPr>
            <sz val="9"/>
            <rFont val="Segoe UI"/>
            <family val="2"/>
          </rPr>
          <t xml:space="preserve">
Aufnahme einer stichwortartigen Anleitung zum korrekten Ausfüllen des Tabellenblattes "Waagenprüfung" eingefügt. Al
</t>
        </r>
        <r>
          <rPr>
            <u val="single"/>
            <sz val="9"/>
            <rFont val="Segoe UI"/>
            <family val="2"/>
          </rPr>
          <t>Aktualisierung Rev.2 am 11.03.2016:</t>
        </r>
        <r>
          <rPr>
            <sz val="9"/>
            <rFont val="Segoe UI"/>
            <family val="2"/>
          </rPr>
          <t xml:space="preserve">
a) Umorganisation der Tabelle, sodass außermittige Belastung nun vor der Kalibrierung kommt.
b) Bei Auftreten negativer Messunsicherheiten oder fehlerhaftem Verlauf (stetige Erhöhung) der berechneten, rel. Unsicherheit erfolgt nun eine Meldung, dass die Kalibrierdaten zu unplausiblen Ergebnissen führen.
</t>
        </r>
        <r>
          <rPr>
            <u val="single"/>
            <sz val="9"/>
            <rFont val="Segoe UI"/>
            <family val="2"/>
          </rPr>
          <t>Aktualisierung Rev.3 am 31.03.2017:</t>
        </r>
        <r>
          <rPr>
            <sz val="9"/>
            <rFont val="Segoe UI"/>
            <family val="2"/>
          </rPr>
          <t xml:space="preserve">
Aktualisierung der Tabelle der Fehlergrenzklasse F2 auf OIML R111. Dieses ergab vereinzelt, leicht veränderte FGK.
Aktualisierung des Makros "Strg+d" zum Löschen der Inhalte in den für Eingaben vorgesehenen Zellen.
</t>
        </r>
        <r>
          <rPr>
            <u val="single"/>
            <sz val="9"/>
            <rFont val="Segoe UI"/>
            <family val="2"/>
          </rPr>
          <t>Änderung am 22.08.2020:</t>
        </r>
        <r>
          <rPr>
            <sz val="9"/>
            <rFont val="Segoe UI"/>
            <family val="2"/>
          </rPr>
          <t xml:space="preserve">
Im Rechenfeld in den Zellen P48 und Q48 für Uabs und Urel die Angaben von k=2 auf k=1 korrigiert.</t>
        </r>
      </text>
    </comment>
    <comment ref="A35" authorId="1">
      <text>
        <r>
          <rPr>
            <sz val="9"/>
            <rFont val="Segoe UI"/>
            <family val="2"/>
          </rPr>
          <t>Prüfung, ob jeweils die Abweichung E größer ist als der festgelegte Toleranzbereich.
Ist das nicht der Fall, so ist die Prüfung bestanden.</t>
        </r>
      </text>
    </comment>
    <comment ref="A47" authorId="1">
      <text>
        <r>
          <rPr>
            <sz val="9"/>
            <rFont val="Segoe UI"/>
            <family val="2"/>
          </rPr>
          <t>R: Anzeigewert der Waage</t>
        </r>
      </text>
    </comment>
    <comment ref="R75" authorId="1">
      <text>
        <r>
          <rPr>
            <b/>
            <sz val="9"/>
            <rFont val="Segoe UI"/>
            <family val="2"/>
          </rPr>
          <t>Alpers Lars (LAG-A):</t>
        </r>
        <r>
          <rPr>
            <sz val="9"/>
            <rFont val="Segoe UI"/>
            <family val="2"/>
          </rPr>
          <t xml:space="preserve">
Werte von 1 zeigen negative Messunsicherheiten an, was als unplausibel gewertet wird und entspr. Meldungen in den Zellen D46, J47, A50 und F50 hervorruft.</t>
        </r>
      </text>
    </comment>
  </commentList>
</comments>
</file>

<file path=xl/sharedStrings.xml><?xml version="1.0" encoding="utf-8"?>
<sst xmlns="http://schemas.openxmlformats.org/spreadsheetml/2006/main" count="851" uniqueCount="479">
  <si>
    <t>Rechenblatt zur regelmäßigen Prüfung einer Waage im Labor</t>
  </si>
  <si>
    <t>Die Abweichung E wird als Betrag der Differenz zwischen der angegebenen Prüflast und des entspr. Anzeige-Mittelwertes berechnet.</t>
  </si>
  <si>
    <t>Die Messunsicherheit wird gemäß E DIN ISO 11352:2011-03 berechnet.</t>
  </si>
  <si>
    <t>geprüfter Arbeitsbereich</t>
  </si>
  <si>
    <t>g</t>
  </si>
  <si>
    <t>0,001-0,01</t>
  </si>
  <si>
    <t>0,01-0,1</t>
  </si>
  <si>
    <t>0,1-1</t>
  </si>
  <si>
    <t>1-10</t>
  </si>
  <si>
    <t>10-100</t>
  </si>
  <si>
    <t>100-1000</t>
  </si>
  <si>
    <t>1000-10000</t>
  </si>
  <si>
    <t>Prüflast L</t>
  </si>
  <si>
    <t>Mittelwert, W</t>
  </si>
  <si>
    <t>Abweichung, E</t>
  </si>
  <si>
    <r>
      <t>U</t>
    </r>
    <r>
      <rPr>
        <vertAlign val="subscript"/>
        <sz val="10"/>
        <color indexed="12"/>
        <rFont val="Arial"/>
        <family val="2"/>
      </rPr>
      <t>abs</t>
    </r>
    <r>
      <rPr>
        <sz val="10"/>
        <color indexed="12"/>
        <rFont val="Arial"/>
        <family val="2"/>
      </rPr>
      <t xml:space="preserve"> (k=2)</t>
    </r>
  </si>
  <si>
    <t>(Erweiterte Gesamtunsicherheit gemäß E DIN ISO 11352:2011-03)</t>
  </si>
  <si>
    <t>± %</t>
  </si>
  <si>
    <t>(Relative, erweiterte Gesamtunsicherheit gemäß E DIN ISO 11352:2011-03)</t>
  </si>
  <si>
    <t>Prüfung bestanden?</t>
  </si>
  <si>
    <t>Mitte</t>
  </si>
  <si>
    <t>Vorne links</t>
  </si>
  <si>
    <t>Hinten links</t>
  </si>
  <si>
    <t>Vorne rechts</t>
  </si>
  <si>
    <t>Hinten rechts</t>
  </si>
  <si>
    <t>Maximale Abweichung zur Mitte:</t>
  </si>
  <si>
    <t>Datum der Prüfung:</t>
  </si>
  <si>
    <t>Hersteller/Typ:</t>
  </si>
  <si>
    <t>ID-Code</t>
  </si>
  <si>
    <t>Messw. 1</t>
  </si>
  <si>
    <t>Messw. 2</t>
  </si>
  <si>
    <t>Messw. 3</t>
  </si>
  <si>
    <t>Messw. 4</t>
  </si>
  <si>
    <t>Messw. 5</t>
  </si>
  <si>
    <t>M-78</t>
  </si>
  <si>
    <t>M-33</t>
  </si>
  <si>
    <t>M-34</t>
  </si>
  <si>
    <t>± mg</t>
  </si>
  <si>
    <t>Bemerkungen</t>
  </si>
  <si>
    <t>Ein geprüfter Arbeitsbereich umfasst jeweils eine Dekade.</t>
  </si>
  <si>
    <t>Die jeweilige Prüflast ist vorzugsweise im inneren Drittel eines Arbeitsbereiches zu wählen.</t>
  </si>
  <si>
    <t>Prüflast in g</t>
  </si>
  <si>
    <t>Rechenfeld für interpolierte Messunsicherheitsangaben</t>
  </si>
  <si>
    <t>Ist eine aufgeführte Dekade für eine Prüfung nicht zutreffend, dann die entspr. Zellen frei lassen.</t>
  </si>
  <si>
    <t>Hinweise:</t>
  </si>
  <si>
    <t>Kalibriergleichung</t>
  </si>
  <si>
    <t>interner ID-Code:</t>
  </si>
  <si>
    <t>Waagenanzeige R, 1</t>
  </si>
  <si>
    <t>Waagenanzeige R, 2</t>
  </si>
  <si>
    <t>Waagenanzeige R, 3</t>
  </si>
  <si>
    <t>Waagenanzeige R, 4</t>
  </si>
  <si>
    <t>Waagenanzeige R, 5</t>
  </si>
  <si>
    <t>(U = x + y * R)</t>
  </si>
  <si>
    <t>x =</t>
  </si>
  <si>
    <t>y =</t>
  </si>
  <si>
    <t>ID-Code, Prüfmassestück:</t>
  </si>
  <si>
    <t>M-77</t>
  </si>
  <si>
    <t>(Prüfung, ob die Messwertabweichung E innerhalb de festgelegten Toleranzbereichsbereiches liegt)</t>
  </si>
  <si>
    <t>Arbeitsbereich</t>
  </si>
  <si>
    <t>U (k=2) der Prüflast</t>
  </si>
  <si>
    <t>Diagramm der relativen Messunsicherheit</t>
  </si>
  <si>
    <t>Berechnet mittels Kalibriergleichung</t>
  </si>
  <si>
    <t>Angaben zur Rückführung des Referenzmassesatzes</t>
  </si>
  <si>
    <t>Firmenbezeichnung</t>
  </si>
  <si>
    <t>siehe im zutreffenden Kalibrierschein</t>
  </si>
  <si>
    <t>interner ID-Code der zutreffenden Waage</t>
  </si>
  <si>
    <r>
      <t>Angaben zum Prüfgegenstand</t>
    </r>
    <r>
      <rPr>
        <sz val="10"/>
        <rFont val="Arial"/>
        <family val="2"/>
      </rPr>
      <t xml:space="preserve"> (Waage)</t>
    </r>
  </si>
  <si>
    <t>Die Quelldaten für die Darstellung, U relativ</t>
  </si>
  <si>
    <t>angewendete, DKD-kalibrierte Waage:</t>
  </si>
  <si>
    <r>
      <t>Durchgeführt von (</t>
    </r>
    <r>
      <rPr>
        <sz val="9"/>
        <rFont val="Arial"/>
        <family val="2"/>
      </rPr>
      <t>Firma / Dienstleister</t>
    </r>
    <r>
      <rPr>
        <sz val="10"/>
        <rFont val="Arial"/>
        <family val="2"/>
      </rPr>
      <t>):</t>
    </r>
  </si>
  <si>
    <r>
      <rPr>
        <b/>
        <sz val="10"/>
        <rFont val="Arial"/>
        <family val="2"/>
      </rPr>
      <t>Kalibrierzeichen</t>
    </r>
    <r>
      <rPr>
        <sz val="10"/>
        <rFont val="Arial"/>
        <family val="2"/>
      </rPr>
      <t xml:space="preserve"> (</t>
    </r>
    <r>
      <rPr>
        <sz val="9"/>
        <rFont val="Arial"/>
        <family val="2"/>
      </rPr>
      <t>enthaltene Angaben</t>
    </r>
    <r>
      <rPr>
        <sz val="10"/>
        <rFont val="Arial"/>
        <family val="2"/>
      </rPr>
      <t>):</t>
    </r>
  </si>
  <si>
    <t>laufende Nr.</t>
  </si>
  <si>
    <t>Kalibrierdatum</t>
  </si>
  <si>
    <t>Akkred.nr.</t>
  </si>
  <si>
    <t>Datum, Name des Bearbeiters. Unterschrift</t>
  </si>
  <si>
    <r>
      <t>|</t>
    </r>
    <r>
      <rPr>
        <sz val="4"/>
        <color indexed="12"/>
        <rFont val="Arial"/>
        <family val="2"/>
      </rPr>
      <t xml:space="preserve"> </t>
    </r>
    <r>
      <rPr>
        <sz val="10"/>
        <color indexed="12"/>
        <rFont val="Arial"/>
        <family val="2"/>
      </rPr>
      <t>mg</t>
    </r>
    <r>
      <rPr>
        <sz val="4"/>
        <color indexed="12"/>
        <rFont val="Arial"/>
        <family val="2"/>
      </rPr>
      <t xml:space="preserve"> </t>
    </r>
    <r>
      <rPr>
        <sz val="10"/>
        <color indexed="12"/>
        <rFont val="Arial"/>
        <family val="2"/>
      </rPr>
      <t>|</t>
    </r>
  </si>
  <si>
    <r>
      <t xml:space="preserve">Angegebene Höchstlast </t>
    </r>
    <r>
      <rPr>
        <sz val="10"/>
        <color indexed="55"/>
        <rFont val="Arial"/>
        <family val="2"/>
      </rPr>
      <t>[g]</t>
    </r>
    <r>
      <rPr>
        <sz val="10"/>
        <rFont val="Arial"/>
        <family val="2"/>
      </rPr>
      <t>:</t>
    </r>
  </si>
  <si>
    <r>
      <t xml:space="preserve">Min. Ablesbarkeit, d </t>
    </r>
    <r>
      <rPr>
        <sz val="10"/>
        <color indexed="55"/>
        <rFont val="Arial"/>
        <family val="2"/>
      </rPr>
      <t>[mg]</t>
    </r>
    <r>
      <rPr>
        <sz val="10"/>
        <rFont val="Arial"/>
        <family val="2"/>
      </rPr>
      <t>:</t>
    </r>
  </si>
  <si>
    <r>
      <t xml:space="preserve">Aktuelle Raumtemperatur </t>
    </r>
    <r>
      <rPr>
        <sz val="10"/>
        <color indexed="55"/>
        <rFont val="Arial"/>
        <family val="2"/>
      </rPr>
      <t>[°C]</t>
    </r>
    <r>
      <rPr>
        <sz val="10"/>
        <rFont val="Arial"/>
        <family val="2"/>
      </rPr>
      <t>:</t>
    </r>
  </si>
  <si>
    <t>nur zutreffende Arbeitsbereiche ausfüllen!</t>
  </si>
  <si>
    <t>Bitte immer darauf achten, dass in der Tabelle (Zeile 16 bis 25) die zutreffenden Spalten ausgefüllt werden.</t>
  </si>
  <si>
    <t>Unsicherheitsbudget des Prüfmassestückes gemäß Prüfzertifikat eintragen</t>
  </si>
  <si>
    <t>Exakten Nennwert des Prüfmassestückes gemäß Prüfzertifikat eintragen</t>
  </si>
  <si>
    <t>Für nicht zutreffende Arbeitsbereiche, "entfällt", anstatt eines ID-Codes eintragen</t>
  </si>
  <si>
    <t>Weitere Angaben:</t>
  </si>
  <si>
    <t>M-29</t>
  </si>
  <si>
    <t xml:space="preserve">OIML-Fehlergrenzenklassen von E1 bis M3 </t>
  </si>
  <si>
    <t>Quelle:</t>
  </si>
  <si>
    <t>www.kern-sohn.com</t>
  </si>
  <si>
    <t xml:space="preserve">  (OIML: "International Organization of Legal Metrology")</t>
  </si>
  <si>
    <t>Was sind Fehlergrenzenklassen überhaupt?</t>
  </si>
  <si>
    <t>Die Fehlergrenzenklassen stufen sich streng hierarchisch im Verhältnis 1:3 ab, </t>
  </si>
  <si>
    <t>wobei E1 die genaueste und M3 die am wenigsten genaue Gewichtsklasse ist.</t>
  </si>
  <si>
    <r>
      <t>Fehlergrenzen</t>
    </r>
    <r>
      <rPr>
        <u val="single"/>
        <sz val="8.5"/>
        <rFont val="Verdana"/>
        <family val="2"/>
      </rPr>
      <t xml:space="preserve"> </t>
    </r>
    <r>
      <rPr>
        <u val="single"/>
        <sz val="8.5"/>
        <color indexed="8"/>
        <rFont val="Verdana"/>
        <family val="2"/>
      </rPr>
      <t>(Toleranzen)</t>
    </r>
  </si>
  <si>
    <t>Sie geben an, wieviel ein Gewicht nach Plus und Minus vom Nennwert abweichen darf. Die Fehlergrenzen entsprechen der Meßunsicherheit des Gewichts, wenn kein Kalibrierschein (DKD-Zertifikat) vorhanden ist.</t>
  </si>
  <si>
    <t>Nennwert</t>
  </si>
  <si>
    <t>1 mg</t>
  </si>
  <si>
    <t>± 0,002 mg</t>
  </si>
  <si>
    <t>± 0,006 mg</t>
  </si>
  <si>
    <t>±0,020 mg</t>
  </si>
  <si>
    <t>±0,06 mg</t>
  </si>
  <si>
    <t>±0,20 mg</t>
  </si>
  <si>
    <t>2 mg</t>
  </si>
  <si>
    <t>5 mg</t>
  </si>
  <si>
    <t>10 mg</t>
  </si>
  <si>
    <t>± 0,008 mg</t>
  </si>
  <si>
    <t>±0,025 mg</t>
  </si>
  <si>
    <t>±0,08 mg</t>
  </si>
  <si>
    <t>±0,25 mg</t>
  </si>
  <si>
    <t>20 mg</t>
  </si>
  <si>
    <t>± 0,003 mg</t>
  </si>
  <si>
    <t>± 0,010 mg</t>
  </si>
  <si>
    <t>±0,03 mg</t>
  </si>
  <si>
    <t>±0,10 mg</t>
  </si>
  <si>
    <t>±0,3 mg</t>
  </si>
  <si>
    <t>50 mg</t>
  </si>
  <si>
    <t>± 0,004 mg</t>
  </si>
  <si>
    <t>± 0,012 mg</t>
  </si>
  <si>
    <t>±0,04 mg</t>
  </si>
  <si>
    <t>±0,12 mg</t>
  </si>
  <si>
    <t>±0,4 mg</t>
  </si>
  <si>
    <t>100 mg</t>
  </si>
  <si>
    <t>± 0,005 mg</t>
  </si>
  <si>
    <t>± 0,015 mg</t>
  </si>
  <si>
    <t>±0,05 mg</t>
  </si>
  <si>
    <t>±0,15 mg</t>
  </si>
  <si>
    <t>±0,5 mg</t>
  </si>
  <si>
    <t>±1,5 mg</t>
  </si>
  <si>
    <t>200 mg</t>
  </si>
  <si>
    <t>± 0,020 mg</t>
  </si>
  <si>
    <t>±0,6 mg</t>
  </si>
  <si>
    <t>±2,0 mg</t>
  </si>
  <si>
    <t>500 mg</t>
  </si>
  <si>
    <t>± 0,025 mg</t>
  </si>
  <si>
    <t>±0,8 mg</t>
  </si>
  <si>
    <t>±2,5 mg</t>
  </si>
  <si>
    <t>1 g</t>
  </si>
  <si>
    <t>± 0,030 mg</t>
  </si>
  <si>
    <t>±1,0 mg</t>
  </si>
  <si>
    <t>±3 mg</t>
  </si>
  <si>
    <t>±10 mg</t>
  </si>
  <si>
    <t>2 g</t>
  </si>
  <si>
    <t>± 0,040 mg</t>
  </si>
  <si>
    <t>±1,2 mg</t>
  </si>
  <si>
    <t>±4 mg</t>
  </si>
  <si>
    <t>±12 mg</t>
  </si>
  <si>
    <t>5 g</t>
  </si>
  <si>
    <t>± 0,050 mg</t>
  </si>
  <si>
    <t>±5 mg</t>
  </si>
  <si>
    <t>±15 mg</t>
  </si>
  <si>
    <t>10 g</t>
  </si>
  <si>
    <t>± 0,060 mg</t>
  </si>
  <si>
    <t>±6 mg</t>
  </si>
  <si>
    <t>±20 mg</t>
  </si>
  <si>
    <t>20 g</t>
  </si>
  <si>
    <t>± 0,080 mg</t>
  </si>
  <si>
    <t>±8 mg</t>
  </si>
  <si>
    <t>±25 mg</t>
  </si>
  <si>
    <t>50 g</t>
  </si>
  <si>
    <t xml:space="preserve">± 0,030 mg </t>
  </si>
  <si>
    <t>± 0,10 mg</t>
  </si>
  <si>
    <t>±0,30 mg</t>
  </si>
  <si>
    <t>±3,0 mg</t>
  </si>
  <si>
    <t>±30 mg</t>
  </si>
  <si>
    <t>100 g</t>
  </si>
  <si>
    <t>± 0,05 mg</t>
  </si>
  <si>
    <t>± 0,15 mg</t>
  </si>
  <si>
    <t>±0,50 mg</t>
  </si>
  <si>
    <t>±50 mg</t>
  </si>
  <si>
    <t>200 g</t>
  </si>
  <si>
    <t>± 0,30 mg</t>
  </si>
  <si>
    <t>±100 mg</t>
  </si>
  <si>
    <t>500 g</t>
  </si>
  <si>
    <t>± 0,25 mg</t>
  </si>
  <si>
    <t>± 0,75 mg</t>
  </si>
  <si>
    <t>±7,5 mg</t>
  </si>
  <si>
    <t>±75 mg</t>
  </si>
  <si>
    <t>±250 mg</t>
  </si>
  <si>
    <t>1 kg</t>
  </si>
  <si>
    <t>± 0,50 mg</t>
  </si>
  <si>
    <t>± 1,50 mg</t>
  </si>
  <si>
    <t>± 5 mg</t>
  </si>
  <si>
    <t>±150 mg</t>
  </si>
  <si>
    <t>±500 mg</t>
  </si>
  <si>
    <t>2 kg</t>
  </si>
  <si>
    <t>± 3,0 mg</t>
  </si>
  <si>
    <t>±300 mg</t>
  </si>
  <si>
    <t>±1000 mg</t>
  </si>
  <si>
    <t>5 kg</t>
  </si>
  <si>
    <t>± 7,5 mg</t>
  </si>
  <si>
    <t>±750 mg</t>
  </si>
  <si>
    <t>±2500 mg</t>
  </si>
  <si>
    <t>10 kg</t>
  </si>
  <si>
    <t>± 15 mg</t>
  </si>
  <si>
    <t>±1500 mg</t>
  </si>
  <si>
    <t>±5000 mg</t>
  </si>
  <si>
    <t>20 kg</t>
  </si>
  <si>
    <t>± 30 mg</t>
  </si>
  <si>
    <t>±3000 mg</t>
  </si>
  <si>
    <t>±10000 mg</t>
  </si>
  <si>
    <t>50 kg</t>
  </si>
  <si>
    <t>± 75 mg</t>
  </si>
  <si>
    <t>±7500 mg</t>
  </si>
  <si>
    <t>±25000 mg</t>
  </si>
  <si>
    <t>x</t>
  </si>
  <si>
    <r>
      <t>Aktuelle Raumtemperatur</t>
    </r>
    <r>
      <rPr>
        <sz val="10"/>
        <rFont val="Arial"/>
        <family val="2"/>
      </rPr>
      <t>:</t>
    </r>
  </si>
  <si>
    <t>°C</t>
  </si>
  <si>
    <t>Außermittige Belastung</t>
  </si>
  <si>
    <t>Bemerungen</t>
  </si>
  <si>
    <t xml:space="preserve">Prüflast L: </t>
  </si>
  <si>
    <t>Waagenanzeige R</t>
  </si>
  <si>
    <t>ID-Code, Prüfgegenstand (Waage):</t>
  </si>
  <si>
    <t>Nennmasse</t>
  </si>
  <si>
    <t xml:space="preserve">Mitte </t>
  </si>
  <si>
    <t xml:space="preserve">vorn rechts </t>
  </si>
  <si>
    <t xml:space="preserve">hinten rechts </t>
  </si>
  <si>
    <t xml:space="preserve">vorn links </t>
  </si>
  <si>
    <t xml:space="preserve">hinten links </t>
  </si>
  <si>
    <t>Nennmasse:</t>
  </si>
  <si>
    <t>Differenz, g</t>
  </si>
  <si>
    <r>
      <t>Außermittige Belastung</t>
    </r>
    <r>
      <rPr>
        <u val="single"/>
        <sz val="10"/>
        <color indexed="12"/>
        <rFont val="Arial"/>
        <family val="2"/>
      </rPr>
      <t xml:space="preserve">  </t>
    </r>
    <r>
      <rPr>
        <u val="single"/>
        <sz val="8"/>
        <color indexed="12"/>
        <rFont val="Arial"/>
        <family val="2"/>
      </rPr>
      <t>(Prüfung mit etwa L = 1/3 bis 1/2 Höchstlast)</t>
    </r>
  </si>
  <si>
    <t xml:space="preserve">         Quelle der Abbildung: DKD-R 7-1, Blatt 2</t>
  </si>
  <si>
    <t xml:space="preserve">      In Zellen C39 bis C43, zutreffende Waagenanzeigewerte eintragen</t>
  </si>
  <si>
    <t>Auswahl, Anzeige, Prozessgenauigkeit</t>
  </si>
  <si>
    <r>
      <rPr>
        <b/>
        <u val="single"/>
        <sz val="12"/>
        <color indexed="10"/>
        <rFont val="Arial"/>
        <family val="2"/>
      </rPr>
      <t>Ansicht, Diagramme, Messunsicherheit, absolut</t>
    </r>
  </si>
  <si>
    <r>
      <t>U</t>
    </r>
    <r>
      <rPr>
        <sz val="8"/>
        <color indexed="14"/>
        <rFont val="Arial"/>
        <family val="2"/>
      </rPr>
      <t>abs</t>
    </r>
    <r>
      <rPr>
        <sz val="10"/>
        <color indexed="14"/>
        <rFont val="Arial"/>
        <family val="2"/>
      </rPr>
      <t xml:space="preserve"> (k=2)</t>
    </r>
  </si>
  <si>
    <r>
      <t>U</t>
    </r>
    <r>
      <rPr>
        <sz val="8"/>
        <color indexed="14"/>
        <rFont val="Arial"/>
        <family val="2"/>
      </rPr>
      <t>rel</t>
    </r>
    <r>
      <rPr>
        <sz val="10"/>
        <color indexed="14"/>
        <rFont val="Arial"/>
        <family val="2"/>
      </rPr>
      <t xml:space="preserve"> (k=2)</t>
    </r>
  </si>
  <si>
    <t xml:space="preserve">Nachkommastellenzahl: </t>
  </si>
  <si>
    <t xml:space="preserve">Spaltenindex: </t>
  </si>
  <si>
    <t xml:space="preserve"> ---</t>
  </si>
  <si>
    <t>Basis für die Ergebnisangabe in g</t>
  </si>
  <si>
    <t xml:space="preserve"> =&gt; Toleranzbereich</t>
  </si>
  <si>
    <t>Kontrolle:</t>
  </si>
  <si>
    <t>Prüflast runden auf:</t>
  </si>
  <si>
    <t>Nachkommastellen</t>
  </si>
  <si>
    <t>Validierungsdatensatz</t>
  </si>
  <si>
    <t>mg</t>
  </si>
  <si>
    <t xml:space="preserve">Mind. Ablesbarkeit </t>
  </si>
  <si>
    <t xml:space="preserve">Angegeb. Höchstlast </t>
  </si>
  <si>
    <t>festgelegte Anzahl</t>
  </si>
  <si>
    <t>an Nachkommastellen</t>
  </si>
  <si>
    <t>10000-100000</t>
  </si>
  <si>
    <t>Mit der Tastenkombination STRG+d werden alle Zellen für neue Eingaben gelöscht.</t>
  </si>
  <si>
    <t>Differenzbetrag von Mittelwert zu Prüflast, gerundet auf die angegebene Min.Ablesbarkeit</t>
  </si>
  <si>
    <r>
      <t>Die Prüfung erfolgt über einen Vergleich der Abweichung E (</t>
    </r>
    <r>
      <rPr>
        <i/>
        <sz val="10"/>
        <rFont val="Arial"/>
        <family val="2"/>
      </rPr>
      <t>auf Anzeigegenauigkeit gerundet</t>
    </r>
    <r>
      <rPr>
        <sz val="10"/>
        <rFont val="Arial"/>
        <family val="2"/>
      </rPr>
      <t>) mit der festgelegten Toleranzanforderung.</t>
    </r>
  </si>
  <si>
    <r>
      <t>Korrektur der Waagenanzeige für Massestücke mit ρ ≠ 8000 kg/m</t>
    </r>
    <r>
      <rPr>
        <b/>
        <vertAlign val="superscript"/>
        <sz val="14"/>
        <color indexed="8"/>
        <rFont val="Arial"/>
        <family val="2"/>
      </rPr>
      <t>3</t>
    </r>
  </si>
  <si>
    <t>Der konventionelle Wägewert ist gemäß einer Empfehlung der Internationalen Organisation für das gesetzliche Messwesen (OIML)</t>
  </si>
  <si>
    <t>eine Rechengröße, die einem Gewichtstück zugeordnet wird, wenn es bei einer Temperatur von 20 °C einem Bezugsgewichtstück</t>
  </si>
  <si>
    <t>der Dichte 8000 kg/m3 in Luft der Dichte 1,2 kg/m3 das Gleichgewicht hält.</t>
  </si>
  <si>
    <t>(Quelle: Wikipedia, Wägewert)</t>
  </si>
  <si>
    <t xml:space="preserve">Dichte des Wägegutes, ρ = </t>
  </si>
  <si>
    <r>
      <t xml:space="preserve"> g/cm</t>
    </r>
    <r>
      <rPr>
        <vertAlign val="superscript"/>
        <sz val="11"/>
        <color indexed="8"/>
        <rFont val="Arial"/>
        <family val="2"/>
      </rPr>
      <t>3</t>
    </r>
  </si>
  <si>
    <t xml:space="preserve">Anzeigewert der Waage, m = </t>
  </si>
  <si>
    <t xml:space="preserve"> g</t>
  </si>
  <si>
    <t xml:space="preserve">Konventioneller Wägewert, Wk = </t>
  </si>
  <si>
    <t>Dichte ausgewählter Stoffe:</t>
  </si>
  <si>
    <t>Stoff</t>
  </si>
  <si>
    <r>
      <t>Dichte g/cm</t>
    </r>
    <r>
      <rPr>
        <vertAlign val="superscript"/>
        <sz val="11"/>
        <color indexed="63"/>
        <rFont val="Arial"/>
        <family val="2"/>
      </rPr>
      <t>3</t>
    </r>
  </si>
  <si>
    <t>Aluminium</t>
  </si>
  <si>
    <t>Fichtenholz</t>
  </si>
  <si>
    <t>ca. 0,5</t>
  </si>
  <si>
    <t>Neusilber</t>
  </si>
  <si>
    <t>8,2...8,7</t>
  </si>
  <si>
    <t>Rhodium</t>
  </si>
  <si>
    <t>Balsaholz</t>
  </si>
  <si>
    <t>0,1...0,2</t>
  </si>
  <si>
    <t>Gips</t>
  </si>
  <si>
    <t>Nickel</t>
  </si>
  <si>
    <t>Sandstein</t>
  </si>
  <si>
    <t>Beton</t>
  </si>
  <si>
    <t>1,8...2,450</t>
  </si>
  <si>
    <t>Granit</t>
  </si>
  <si>
    <t>Osmium</t>
  </si>
  <si>
    <t>Schotter</t>
  </si>
  <si>
    <t>1,7...1,9</t>
  </si>
  <si>
    <t>Blei</t>
  </si>
  <si>
    <t>Gummi</t>
  </si>
  <si>
    <t>0,920...0,960</t>
  </si>
  <si>
    <t>Palladium</t>
  </si>
  <si>
    <t>Silber</t>
  </si>
  <si>
    <t>Cadmium</t>
  </si>
  <si>
    <t>Gusseisen</t>
  </si>
  <si>
    <t>Papier</t>
  </si>
  <si>
    <t>ca. 0,8</t>
  </si>
  <si>
    <t>Silicium</t>
  </si>
  <si>
    <t>Chrom</t>
  </si>
  <si>
    <t>Holz</t>
  </si>
  <si>
    <t>0,4...0,8</t>
  </si>
  <si>
    <t>Paraffin</t>
  </si>
  <si>
    <t>0,860...0,930</t>
  </si>
  <si>
    <t>Stahl</t>
  </si>
  <si>
    <t>Edelstahl</t>
  </si>
  <si>
    <t>Kohlenstoff</t>
  </si>
  <si>
    <t>Pertinax</t>
  </si>
  <si>
    <t>Steinkohle</t>
  </si>
  <si>
    <t>Eichenholz</t>
  </si>
  <si>
    <t>Phosphor</t>
  </si>
  <si>
    <t>Wachs</t>
  </si>
  <si>
    <t>0,9...0,980</t>
  </si>
  <si>
    <t>Eis</t>
  </si>
  <si>
    <t>Kork</t>
  </si>
  <si>
    <t>0,480...0,520</t>
  </si>
  <si>
    <t>Platin</t>
  </si>
  <si>
    <t>Zement</t>
  </si>
  <si>
    <t>3,0...3,1</t>
  </si>
  <si>
    <t>Eisen</t>
  </si>
  <si>
    <t>Kupfer</t>
  </si>
  <si>
    <t>8,920...8,960</t>
  </si>
  <si>
    <t>Plexiglas</t>
  </si>
  <si>
    <t>Zink</t>
  </si>
  <si>
    <t>Eisenoxid</t>
  </si>
  <si>
    <t>Magnesium</t>
  </si>
  <si>
    <t>Polystyrol</t>
  </si>
  <si>
    <t>1,040...1,090</t>
  </si>
  <si>
    <t>Zinn</t>
  </si>
  <si>
    <t>Eisenstahl</t>
  </si>
  <si>
    <t>Mangan</t>
  </si>
  <si>
    <t>Quarzglas</t>
  </si>
  <si>
    <t>Fensterglas</t>
  </si>
  <si>
    <t>2,5...2,6</t>
  </si>
  <si>
    <t>Messing</t>
  </si>
  <si>
    <t>8,3...8,7</t>
  </si>
  <si>
    <t>Rhenium</t>
  </si>
  <si>
    <t xml:space="preserve"> Quelle: Tabellensammlung Chemie / Dichte fester Stoffe (http://de.wikibooks.org/wiki/Tabellensammlung_Chemie)</t>
  </si>
  <si>
    <r>
      <t>Hinweis:</t>
    </r>
    <r>
      <rPr>
        <sz val="10"/>
        <color indexed="60"/>
        <rFont val="Arial"/>
        <family val="2"/>
      </rPr>
      <t xml:space="preserve"> Festlegung entspr. Fehlergrenzklasse F2; Mindestens jedoch das fünffache der angegebenen Ablesbarkeit</t>
    </r>
  </si>
  <si>
    <t>Festgelegte Toleranzen gemäß fünffacher angegebener Ablesbarkeit bzw. Fehlergrenzklasse F2</t>
  </si>
  <si>
    <t>Prüfsumme, ID-Code</t>
  </si>
  <si>
    <t>Prüfsumme, U</t>
  </si>
  <si>
    <t>Prüfsumme, R</t>
  </si>
  <si>
    <t>Prüfsumme, L</t>
  </si>
  <si>
    <t xml:space="preserve"> (entspr. F2)</t>
  </si>
  <si>
    <r>
      <rPr>
        <sz val="10"/>
        <color indexed="12"/>
        <rFont val="Arial"/>
        <family val="2"/>
      </rPr>
      <t xml:space="preserve">      </t>
    </r>
    <r>
      <rPr>
        <u val="single"/>
        <sz val="10"/>
        <color indexed="12"/>
        <rFont val="Arial"/>
        <family val="2"/>
      </rPr>
      <t>Ergibt für eine Prozessgenauigkeit (k=1) von:</t>
    </r>
  </si>
  <si>
    <t>Prüflast gerundet entspr. FGK</t>
  </si>
  <si>
    <t>Wägewerte (liegen als Texteingaben vor) in Zahlen umformatiert:</t>
  </si>
  <si>
    <t>Prüflast und U,Prüflast (liegen als Texteingaben vor) in Zahlen umformatiert:</t>
  </si>
  <si>
    <t>1. Kopfdaten eintragen</t>
  </si>
  <si>
    <t>• Prüfdatum</t>
  </si>
  <si>
    <t>• Raumtemperatur</t>
  </si>
  <si>
    <t>• Hersteller/Typ der Waage</t>
  </si>
  <si>
    <t>• ID-Code der Waage</t>
  </si>
  <si>
    <r>
      <t xml:space="preserve">• Höchstlast der Waage (gemäß Herstellerangabe) in </t>
    </r>
    <r>
      <rPr>
        <b/>
        <sz val="11"/>
        <color indexed="8"/>
        <rFont val="Calibri"/>
        <family val="2"/>
      </rPr>
      <t>g</t>
    </r>
  </si>
  <si>
    <r>
      <t xml:space="preserve">• Mindest-Ablesbarkeit der Waage in </t>
    </r>
    <r>
      <rPr>
        <b/>
        <sz val="11"/>
        <color indexed="8"/>
        <rFont val="Calibri"/>
        <family val="2"/>
      </rPr>
      <t>mg</t>
    </r>
  </si>
  <si>
    <t>2. Angaben zur Rückführung des Referenzmassesatzes eintragen</t>
  </si>
  <si>
    <t>• Für die Rückführung angewendete, DKD-kalibrierte Waage</t>
  </si>
  <si>
    <t>• Firma/Dienstleister, der die Waage DKD-kalibriert hat</t>
  </si>
  <si>
    <t>oder alternativ, bei Vorliegen eines Kalibrierzertifikates des Massesatzes</t>
  </si>
  <si>
    <t>• im Kalibrierzeichen enthaltene Angaben</t>
  </si>
  <si>
    <t>• Weitere Angaben nach Bedarf</t>
  </si>
  <si>
    <t>3. Daten aus der durchgeführten Prüfung eintragen</t>
  </si>
  <si>
    <t>Ab 1mg aufwärts soll möglichst in jeder Dekade des Arbeitsbereiches der Waage</t>
  </si>
  <si>
    <t>eine Prüfung erfolgen. Hierbei sind auch Kombinationen möglich (z.B. 1000g+2000g=3000g)</t>
  </si>
  <si>
    <t>WICHTIG: Bei Kombinationen sind die Unsicherheitsangaben der Massestücke</t>
  </si>
  <si>
    <t>nach dem Fehlerfortpflanzungsgesetz zu summieren!</t>
  </si>
  <si>
    <t>Die nicht verwendeten Spalten, im Rechenblatt, sind freizulassen.</t>
  </si>
  <si>
    <t>• sofern von den Angaben aus Punkt 2. abweichend, ID-Code des jeweiligen</t>
  </si>
  <si>
    <r>
      <t xml:space="preserve">   Kalibriermassestückes (anderenfalls "</t>
    </r>
    <r>
      <rPr>
        <i/>
        <sz val="11"/>
        <color indexed="8"/>
        <rFont val="Calibri"/>
        <family val="2"/>
      </rPr>
      <t>siehe oben</t>
    </r>
    <r>
      <rPr>
        <sz val="10"/>
        <rFont val="Arial"/>
        <family val="0"/>
      </rPr>
      <t>" eintragen)</t>
    </r>
  </si>
  <si>
    <r>
      <t>• U (d.h. Unsicherheitsangabe des Kalibriermassestückes gemäß Informationsblatt) in</t>
    </r>
    <r>
      <rPr>
        <b/>
        <sz val="11"/>
        <color indexed="8"/>
        <rFont val="Calibri"/>
        <family val="2"/>
      </rPr>
      <t xml:space="preserve"> mg</t>
    </r>
  </si>
  <si>
    <t>• Die 5 Anzeigewerte der Waage, welche bei der Prüfung ermittelt wurden</t>
  </si>
  <si>
    <t>• Auswahl der Prozessgenauigkeiten, welche angegeben werden sollen</t>
  </si>
  <si>
    <t xml:space="preserve">   (in die entspr. Zellen M38 bis M40 ein "x" eingeben)</t>
  </si>
  <si>
    <t>3.1. Daten aus der durchgeführten Prüfung zur außermittigen Belastung eintragen</t>
  </si>
  <si>
    <t>• Prüflast (d.h. Nennmasse des Kalibriermassestückes gemäß Informationsblatt) in g</t>
  </si>
  <si>
    <t>• Bemerkungen nach Bedarf</t>
  </si>
  <si>
    <t>Abschließend das Blatt "Waagenprüfung" ausdrucken, mit Datum und Namen unterschreiben</t>
  </si>
  <si>
    <r>
      <t xml:space="preserve">• Prüflast (d.h. extern ermittelte Nennmasse des Kalibriermassestückes gemäß Informationsblatt) in </t>
    </r>
    <r>
      <rPr>
        <b/>
        <sz val="11"/>
        <color indexed="8"/>
        <rFont val="Calibri"/>
        <family val="2"/>
      </rPr>
      <t>g</t>
    </r>
  </si>
  <si>
    <t>0,50001</t>
  </si>
  <si>
    <t>5,00007</t>
  </si>
  <si>
    <t>49,9999</t>
  </si>
  <si>
    <t>500,0009</t>
  </si>
  <si>
    <t>1500,0015</t>
  </si>
  <si>
    <t>0,08</t>
  </si>
  <si>
    <t>0,16</t>
  </si>
  <si>
    <t>0,3</t>
  </si>
  <si>
    <t>2,6</t>
  </si>
  <si>
    <t>7,6</t>
  </si>
  <si>
    <t>0,5</t>
  </si>
  <si>
    <t>5,0</t>
  </si>
  <si>
    <t>50,0</t>
  </si>
  <si>
    <t>500,0</t>
  </si>
  <si>
    <t>1499,9</t>
  </si>
  <si>
    <t>Kontrolle</t>
  </si>
  <si>
    <t>Waage MJ-964</t>
  </si>
  <si>
    <t>ja</t>
  </si>
  <si>
    <r>
      <t xml:space="preserve">Toleranzbereich                     </t>
    </r>
    <r>
      <rPr>
        <sz val="8"/>
        <color indexed="12"/>
        <rFont val="Arial"/>
        <family val="2"/>
      </rPr>
      <t>FGK F2; mind. 5 Digit</t>
    </r>
  </si>
  <si>
    <t xml:space="preserve">Summe: </t>
  </si>
  <si>
    <t>Datensatz zur Prüfung der Meldung von unplausiblen Kalibrierdaten (negative Messunsicherheiten oder Messunsicherheiten mit stetig aufsteigendem Verlauf)</t>
  </si>
  <si>
    <t xml:space="preserve">       (Verlaufsumkehr)</t>
  </si>
  <si>
    <t>Die Ergebnisse von M-29 verursachen negative Messunsicherheiten</t>
  </si>
  <si>
    <t>XXX</t>
  </si>
  <si>
    <t xml:space="preserve"> Die Ergebnisse von XXX erzeugen einen stetig aufsteigenden Verlauf</t>
  </si>
  <si>
    <t xml:space="preserve"> &lt;--- Schwellwert für Ein-/Ausblendung der Meldung</t>
  </si>
  <si>
    <t>Datum, Unterschrift, Leitung</t>
  </si>
  <si>
    <t>LA Toolsammlung</t>
  </si>
  <si>
    <t>lars-alpers@gmx.de</t>
  </si>
  <si>
    <t xml:space="preserve">Prüfung von Waagen im Labor </t>
  </si>
  <si>
    <t>(Ein Tool zur Prüfung von Waagen entsprechend der Empfehlung 71 SD 3 026, Ausgabe 14.05.2014, der Deutschen Akkreditierungsstelle)</t>
  </si>
  <si>
    <t>Bitte beachten:</t>
  </si>
  <si>
    <t>Die Basis bei der Ermittlung relativen Messunsicherheit bildet in diesem Tool die E DIN ISO 11352:2011-03</t>
  </si>
  <si>
    <t>Die hier ermittelten Rechenergebnisse können von solchen, die gemäß DKD-R 7-1 (oder entsprechend) ermittelt wurden, abweichend sein.</t>
  </si>
  <si>
    <t>LOGO einfügen</t>
  </si>
  <si>
    <t>Nennwertermittlung eines Kontrollmassestückes</t>
  </si>
  <si>
    <t xml:space="preserve">ID-Code: </t>
  </si>
  <si>
    <t>Rev.</t>
  </si>
  <si>
    <t>Stand:</t>
  </si>
  <si>
    <t>ID-Code der Waage:</t>
  </si>
  <si>
    <t>ID-Code des Massestückes:</t>
  </si>
  <si>
    <t>Bearbeitender:</t>
  </si>
  <si>
    <t>Prüfdatum:</t>
  </si>
  <si>
    <t>Ermittelte</t>
  </si>
  <si>
    <t>Anzeigegenauigkeit angewendeten der Waage</t>
  </si>
  <si>
    <t>Bitte nur Zahlen in die schwarz</t>
  </si>
  <si>
    <t>Wägewerte</t>
  </si>
  <si>
    <t>Nachkommastellenzahl</t>
  </si>
  <si>
    <t>umrandeten Zellen eingeben</t>
  </si>
  <si>
    <t>für die Basiseinheit, [g]:</t>
  </si>
  <si>
    <t xml:space="preserve"> - 10 Wägewerte</t>
  </si>
  <si>
    <t>Wägung 1</t>
  </si>
  <si>
    <t xml:space="preserve"> - Nachkommastellenzahl</t>
  </si>
  <si>
    <t>Wägung 2</t>
  </si>
  <si>
    <t>Im Kalibrierschein der Waage, angegebene Kalibriergleichung</t>
  </si>
  <si>
    <t xml:space="preserve"> - Summand 1</t>
  </si>
  <si>
    <t>Wägung 3</t>
  </si>
  <si>
    <t>zur Berechnung der erweiterten Gesamt-Messunsicherheit</t>
  </si>
  <si>
    <t xml:space="preserve"> - Faktor von Summand 2</t>
  </si>
  <si>
    <t>Wägung 4</t>
  </si>
  <si>
    <t>Wägung 5</t>
  </si>
  <si>
    <t>Nebenrechnung</t>
  </si>
  <si>
    <t>Wägung 6</t>
  </si>
  <si>
    <t>Werteanzahl:</t>
  </si>
  <si>
    <t>Wägung 7</t>
  </si>
  <si>
    <t xml:space="preserve"> Vorzeichen beachten!!</t>
  </si>
  <si>
    <t>Mittelwert, g:</t>
  </si>
  <si>
    <t>Wägung 8</t>
  </si>
  <si>
    <t>Std.abw., g:</t>
  </si>
  <si>
    <t>Wägung 9</t>
  </si>
  <si>
    <t>Wägung 10</t>
  </si>
  <si>
    <t>Auswertung</t>
  </si>
  <si>
    <t>ermittelter, konventioneller Wägewert und Angabe der erweiterten Messunsicherheit (k=2)</t>
  </si>
  <si>
    <t>Prüfergebnis:</t>
  </si>
  <si>
    <t>Datum / Unterschrift, Bearbeiter</t>
  </si>
  <si>
    <r>
      <t xml:space="preserve">(k=2): </t>
    </r>
    <r>
      <rPr>
        <b/>
        <sz val="11"/>
        <color indexed="16"/>
        <rFont val="Arial"/>
        <family val="2"/>
      </rPr>
      <t>U = x + y * I</t>
    </r>
  </si>
  <si>
    <r>
      <t xml:space="preserve">Summand 1  [ </t>
    </r>
    <r>
      <rPr>
        <b/>
        <sz val="11"/>
        <color indexed="16"/>
        <rFont val="Arial"/>
        <family val="2"/>
      </rPr>
      <t>x</t>
    </r>
    <r>
      <rPr>
        <sz val="11"/>
        <rFont val="Arial"/>
        <family val="2"/>
      </rPr>
      <t xml:space="preserve"> ]: </t>
    </r>
  </si>
  <si>
    <r>
      <t xml:space="preserve">Faktor, Summand 2  [ </t>
    </r>
    <r>
      <rPr>
        <b/>
        <sz val="11"/>
        <color indexed="16"/>
        <rFont val="Arial"/>
        <family val="2"/>
      </rPr>
      <t>y</t>
    </r>
    <r>
      <rPr>
        <sz val="11"/>
        <rFont val="Arial"/>
        <family val="2"/>
      </rPr>
      <t xml:space="preserve"> ]: </t>
    </r>
  </si>
  <si>
    <t>ID-Code, Waage:</t>
  </si>
  <si>
    <t>ID-Code, Massestück:</t>
  </si>
  <si>
    <t>Durchführungsdatum:</t>
  </si>
  <si>
    <t>Bearbeiter, Kürzel</t>
  </si>
  <si>
    <t>Anmerkungen</t>
  </si>
  <si>
    <r>
      <t>Wägeformular für die Ermittlung der Nennmassen    (</t>
    </r>
    <r>
      <rPr>
        <sz val="11"/>
        <color indexed="12"/>
        <rFont val="Arial"/>
        <family val="2"/>
      </rPr>
      <t>für Handeintragungen vor Ort)</t>
    </r>
  </si>
  <si>
    <r>
      <rPr>
        <sz val="9"/>
        <color indexed="12"/>
        <rFont val="Arial"/>
        <family val="2"/>
      </rPr>
      <t>ID-Code, Prüfmassestück</t>
    </r>
    <r>
      <rPr>
        <sz val="10"/>
        <color indexed="12"/>
        <rFont val="Arial"/>
        <family val="2"/>
      </rPr>
      <t>:</t>
    </r>
  </si>
  <si>
    <t>(Quelle der Berechnung: Fa. Sartorius, Angabe zur Korrektur des Wägewertes)</t>
  </si>
  <si>
    <t>50.000 g</t>
  </si>
  <si>
    <t>±0.06mg</t>
  </si>
  <si>
    <t>±0.08mg</t>
  </si>
  <si>
    <t>±0.10mg</t>
  </si>
  <si>
    <t>±0.12mg </t>
  </si>
  <si>
    <t>±0.16mg</t>
  </si>
  <si>
    <t>±0.20mg</t>
  </si>
  <si>
    <t>±0.25mg</t>
  </si>
  <si>
    <t>±0.3mg</t>
  </si>
  <si>
    <t>±0.4mg</t>
  </si>
  <si>
    <t>±0.5mg</t>
  </si>
  <si>
    <t>±0.6mg</t>
  </si>
  <si>
    <t>±0.8mg</t>
  </si>
  <si>
    <t>±1.0mg</t>
  </si>
  <si>
    <t>±1.6mg</t>
  </si>
  <si>
    <t>±3.0mg</t>
  </si>
  <si>
    <t>±8.0mg</t>
  </si>
  <si>
    <t>±16mg</t>
  </si>
  <si>
    <t>±30mg</t>
  </si>
  <si>
    <t>±80mg</t>
  </si>
  <si>
    <t>±160mg</t>
  </si>
  <si>
    <t>±300mg</t>
  </si>
  <si>
    <t>±800mg</t>
  </si>
  <si>
    <t>±1600mg</t>
  </si>
  <si>
    <t>OIML R111: F2</t>
  </si>
  <si>
    <r>
      <t>U</t>
    </r>
    <r>
      <rPr>
        <vertAlign val="subscript"/>
        <sz val="10"/>
        <color indexed="12"/>
        <rFont val="Arial"/>
        <family val="2"/>
      </rPr>
      <t>abs</t>
    </r>
    <r>
      <rPr>
        <sz val="10"/>
        <color indexed="12"/>
        <rFont val="Arial"/>
        <family val="2"/>
      </rPr>
      <t xml:space="preserve"> (k=1)</t>
    </r>
  </si>
  <si>
    <r>
      <t>U</t>
    </r>
    <r>
      <rPr>
        <vertAlign val="subscript"/>
        <sz val="10"/>
        <color indexed="12"/>
        <rFont val="Arial"/>
        <family val="2"/>
      </rPr>
      <t>rel</t>
    </r>
    <r>
      <rPr>
        <sz val="10"/>
        <color indexed="12"/>
        <rFont val="Arial"/>
        <family val="2"/>
      </rPr>
      <t xml:space="preserve"> (k=1)</t>
    </r>
  </si>
  <si>
    <r>
      <rPr>
        <sz val="10"/>
        <color indexed="12"/>
        <rFont val="Arial"/>
        <family val="2"/>
      </rPr>
      <t>Revision 3a</t>
    </r>
    <r>
      <rPr>
        <sz val="10"/>
        <rFont val="Arial"/>
        <family val="2"/>
      </rPr>
      <t>; Stand: 22.08.2020</t>
    </r>
  </si>
</sst>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000"/>
    <numFmt numFmtId="167" formatCode="0.00000"/>
    <numFmt numFmtId="168" formatCode="0.0000"/>
    <numFmt numFmtId="169" formatCode="0.000000"/>
    <numFmt numFmtId="170" formatCode="0.0000000"/>
    <numFmt numFmtId="171" formatCode="0.000"/>
    <numFmt numFmtId="172" formatCode="0.00000000"/>
    <numFmt numFmtId="173" formatCode="0.000E+00"/>
    <numFmt numFmtId="174" formatCode="0.0"/>
    <numFmt numFmtId="175" formatCode="General&quot; g&quot;"/>
    <numFmt numFmtId="176" formatCode="&quot;± &quot;0.00&quot; g&quot;"/>
    <numFmt numFmtId="177" formatCode="&quot;± &quot;0.00&quot; mg&quot;"/>
    <numFmt numFmtId="178" formatCode="0&quot; %&quot;"/>
    <numFmt numFmtId="179" formatCode="&quot;± &quot;0&quot; %&quot;"/>
    <numFmt numFmtId="180" formatCode="&quot;± &quot;0.0&quot; %&quot;"/>
    <numFmt numFmtId="181" formatCode="&quot;± &quot;0.000&quot; mg&quot;"/>
    <numFmt numFmtId="182" formatCode="0.000E+00&quot; g&quot;"/>
    <numFmt numFmtId="183" formatCode="General&quot;     &quot;"/>
    <numFmt numFmtId="184" formatCode="&quot;     &quot;General"/>
    <numFmt numFmtId="185" formatCode="[$-407]dddd\,\ d\.\ mmmm\ yyyy"/>
    <numFmt numFmtId="186" formatCode="General&quot; mg&quot;"/>
    <numFmt numFmtId="187" formatCode="General&quot; °C&quot;"/>
    <numFmt numFmtId="188" formatCode="0.0%"/>
    <numFmt numFmtId="189" formatCode="0.0&quot; mg&quot;"/>
    <numFmt numFmtId="190" formatCode="0.000&quot; %&quot;"/>
    <numFmt numFmtId="191" formatCode="0.0000&quot; %&quot;"/>
    <numFmt numFmtId="192" formatCode="0.00000&quot; %&quot;"/>
    <numFmt numFmtId="193" formatCode="0.000000&quot; %&quot;"/>
    <numFmt numFmtId="194" formatCode="0.0000000&quot; %&quot;"/>
    <numFmt numFmtId="195" formatCode="0.00000000&quot; %&quot;"/>
    <numFmt numFmtId="196" formatCode="0.000000000&quot; %&quot;"/>
    <numFmt numFmtId="197" formatCode="mm\ yyyy"/>
    <numFmt numFmtId="198" formatCode="mm/yyyy"/>
    <numFmt numFmtId="199" formatCode="mmm\ yyyy"/>
    <numFmt numFmtId="200" formatCode="General&quot; &quot;"/>
    <numFmt numFmtId="201" formatCode="General&quot; Nachkommastellen&quot;"/>
    <numFmt numFmtId="202" formatCode="&quot;Nachkommastellen: &quot;General"/>
    <numFmt numFmtId="203" formatCode="&quot;Spalte: &quot;General"/>
    <numFmt numFmtId="204" formatCode="&quot;Nachkommastellenzahl: &quot;General"/>
    <numFmt numFmtId="205" formatCode="&quot;=&gt; &quot;General&quot; g&quot;"/>
    <numFmt numFmtId="206" formatCode="&quot;± &quot;General&quot; mg&quot;"/>
    <numFmt numFmtId="207" formatCode="General&quot; %&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 &quot;0.00&quot; %&quot;"/>
    <numFmt numFmtId="213" formatCode="&quot;I = &quot;General&quot; g&quot;"/>
    <numFmt numFmtId="214" formatCode="00000"/>
  </numFmts>
  <fonts count="124">
    <font>
      <sz val="10"/>
      <name val="Arial"/>
      <family val="0"/>
    </font>
    <font>
      <sz val="11"/>
      <color indexed="8"/>
      <name val="Calibri"/>
      <family val="2"/>
    </font>
    <font>
      <sz val="10"/>
      <color indexed="12"/>
      <name val="Arial"/>
      <family val="2"/>
    </font>
    <font>
      <vertAlign val="subscript"/>
      <sz val="10"/>
      <color indexed="12"/>
      <name val="Arial"/>
      <family val="2"/>
    </font>
    <font>
      <u val="single"/>
      <sz val="10"/>
      <name val="Arial"/>
      <family val="2"/>
    </font>
    <font>
      <b/>
      <u val="single"/>
      <sz val="10"/>
      <name val="Arial"/>
      <family val="2"/>
    </font>
    <font>
      <i/>
      <sz val="8"/>
      <name val="Arial"/>
      <family val="2"/>
    </font>
    <font>
      <b/>
      <sz val="10"/>
      <name val="Arial"/>
      <family val="2"/>
    </font>
    <font>
      <sz val="8"/>
      <name val="Arial"/>
      <family val="2"/>
    </font>
    <font>
      <sz val="12"/>
      <name val="Arial"/>
      <family val="2"/>
    </font>
    <font>
      <sz val="10"/>
      <color indexed="55"/>
      <name val="Arial"/>
      <family val="2"/>
    </font>
    <font>
      <sz val="9"/>
      <name val="Arial"/>
      <family val="2"/>
    </font>
    <font>
      <sz val="4"/>
      <color indexed="12"/>
      <name val="Arial"/>
      <family val="2"/>
    </font>
    <font>
      <u val="single"/>
      <sz val="10"/>
      <color indexed="12"/>
      <name val="Arial"/>
      <family val="2"/>
    </font>
    <font>
      <b/>
      <u val="single"/>
      <sz val="11"/>
      <name val="Verdana"/>
      <family val="2"/>
    </font>
    <font>
      <i/>
      <sz val="8"/>
      <name val="Verdana"/>
      <family val="2"/>
    </font>
    <font>
      <b/>
      <u val="single"/>
      <sz val="10"/>
      <color indexed="8"/>
      <name val="Verdana"/>
      <family val="2"/>
    </font>
    <font>
      <b/>
      <u val="single"/>
      <sz val="12"/>
      <color indexed="8"/>
      <name val="Verdana"/>
      <family val="2"/>
    </font>
    <font>
      <sz val="8.5"/>
      <color indexed="8"/>
      <name val="Verdana"/>
      <family val="2"/>
    </font>
    <font>
      <b/>
      <u val="single"/>
      <sz val="8.5"/>
      <color indexed="8"/>
      <name val="Verdana"/>
      <family val="2"/>
    </font>
    <font>
      <u val="single"/>
      <sz val="8.5"/>
      <name val="Verdana"/>
      <family val="2"/>
    </font>
    <font>
      <u val="single"/>
      <sz val="8.5"/>
      <color indexed="8"/>
      <name val="Verdana"/>
      <family val="2"/>
    </font>
    <font>
      <sz val="8.5"/>
      <name val="Verdana"/>
      <family val="2"/>
    </font>
    <font>
      <sz val="11"/>
      <color indexed="12"/>
      <name val="Verdana"/>
      <family val="2"/>
    </font>
    <font>
      <b/>
      <sz val="11"/>
      <color indexed="12"/>
      <name val="Arial"/>
      <family val="2"/>
    </font>
    <font>
      <sz val="7.5"/>
      <name val="Arial"/>
      <family val="2"/>
    </font>
    <font>
      <sz val="8.5"/>
      <name val="Arial"/>
      <family val="2"/>
    </font>
    <font>
      <sz val="11"/>
      <color indexed="12"/>
      <name val="Arial"/>
      <family val="2"/>
    </font>
    <font>
      <b/>
      <sz val="12"/>
      <name val="Arial"/>
      <family val="2"/>
    </font>
    <font>
      <sz val="10"/>
      <color indexed="60"/>
      <name val="Arial"/>
      <family val="2"/>
    </font>
    <font>
      <b/>
      <u val="single"/>
      <sz val="10"/>
      <color indexed="12"/>
      <name val="Arial"/>
      <family val="2"/>
    </font>
    <font>
      <b/>
      <sz val="10"/>
      <color indexed="12"/>
      <name val="Arial"/>
      <family val="2"/>
    </font>
    <font>
      <sz val="10"/>
      <color indexed="22"/>
      <name val="Arial"/>
      <family val="2"/>
    </font>
    <font>
      <sz val="8"/>
      <color indexed="60"/>
      <name val="Arial"/>
      <family val="2"/>
    </font>
    <font>
      <b/>
      <sz val="10"/>
      <color indexed="10"/>
      <name val="Arial"/>
      <family val="2"/>
    </font>
    <font>
      <sz val="10"/>
      <color indexed="10"/>
      <name val="Arial"/>
      <family val="2"/>
    </font>
    <font>
      <b/>
      <u val="single"/>
      <sz val="12"/>
      <color indexed="10"/>
      <name val="Arial"/>
      <family val="2"/>
    </font>
    <font>
      <sz val="9"/>
      <color indexed="12"/>
      <name val="Arial"/>
      <family val="2"/>
    </font>
    <font>
      <u val="single"/>
      <sz val="8"/>
      <color indexed="12"/>
      <name val="Arial"/>
      <family val="2"/>
    </font>
    <font>
      <sz val="9"/>
      <name val="Tahoma"/>
      <family val="2"/>
    </font>
    <font>
      <b/>
      <sz val="9"/>
      <name val="Tahoma"/>
      <family val="2"/>
    </font>
    <font>
      <sz val="10"/>
      <color indexed="14"/>
      <name val="Arial"/>
      <family val="2"/>
    </font>
    <font>
      <sz val="8"/>
      <color indexed="14"/>
      <name val="Arial"/>
      <family val="2"/>
    </font>
    <font>
      <sz val="8"/>
      <color indexed="12"/>
      <name val="Arial"/>
      <family val="2"/>
    </font>
    <font>
      <sz val="8"/>
      <color indexed="55"/>
      <name val="Arial"/>
      <family val="2"/>
    </font>
    <font>
      <u val="single"/>
      <sz val="10"/>
      <color indexed="60"/>
      <name val="Arial"/>
      <family val="2"/>
    </font>
    <font>
      <b/>
      <sz val="10"/>
      <color indexed="22"/>
      <name val="Arial"/>
      <family val="2"/>
    </font>
    <font>
      <u val="single"/>
      <sz val="10"/>
      <color indexed="22"/>
      <name val="Arial"/>
      <family val="2"/>
    </font>
    <font>
      <sz val="8"/>
      <color indexed="10"/>
      <name val="Arial"/>
      <family val="2"/>
    </font>
    <font>
      <i/>
      <sz val="10"/>
      <name val="Arial"/>
      <family val="2"/>
    </font>
    <font>
      <b/>
      <vertAlign val="superscript"/>
      <sz val="14"/>
      <color indexed="8"/>
      <name val="Arial"/>
      <family val="2"/>
    </font>
    <font>
      <vertAlign val="superscript"/>
      <sz val="11"/>
      <color indexed="8"/>
      <name val="Arial"/>
      <family val="2"/>
    </font>
    <font>
      <vertAlign val="superscript"/>
      <sz val="11"/>
      <color indexed="63"/>
      <name val="Arial"/>
      <family val="2"/>
    </font>
    <font>
      <sz val="8.8"/>
      <color indexed="12"/>
      <name val="Arial"/>
      <family val="2"/>
    </font>
    <font>
      <sz val="9"/>
      <name val="Segoe UI"/>
      <family val="2"/>
    </font>
    <font>
      <b/>
      <sz val="9"/>
      <name val="Segoe UI"/>
      <family val="2"/>
    </font>
    <font>
      <u val="single"/>
      <sz val="9"/>
      <name val="Segoe UI"/>
      <family val="2"/>
    </font>
    <font>
      <sz val="9"/>
      <color indexed="22"/>
      <name val="Arial"/>
      <family val="2"/>
    </font>
    <font>
      <b/>
      <sz val="11"/>
      <color indexed="8"/>
      <name val="Calibri"/>
      <family val="2"/>
    </font>
    <font>
      <i/>
      <sz val="11"/>
      <color indexed="8"/>
      <name val="Calibri"/>
      <family val="2"/>
    </font>
    <font>
      <b/>
      <sz val="14"/>
      <color indexed="8"/>
      <name val="Arial"/>
      <family val="2"/>
    </font>
    <font>
      <sz val="11"/>
      <color indexed="8"/>
      <name val="Arial"/>
      <family val="2"/>
    </font>
    <font>
      <sz val="10"/>
      <color indexed="8"/>
      <name val="Arial"/>
      <family val="2"/>
    </font>
    <font>
      <sz val="10"/>
      <color indexed="8"/>
      <name val="Courier New"/>
      <family val="3"/>
    </font>
    <font>
      <b/>
      <sz val="11"/>
      <color indexed="8"/>
      <name val="Arial"/>
      <family val="2"/>
    </font>
    <font>
      <sz val="9"/>
      <color indexed="8"/>
      <name val="Arial"/>
      <family val="2"/>
    </font>
    <font>
      <sz val="11"/>
      <color indexed="63"/>
      <name val="Arial"/>
      <family val="2"/>
    </font>
    <font>
      <sz val="8"/>
      <color indexed="8"/>
      <name val="Courier New"/>
      <family val="3"/>
    </font>
    <font>
      <i/>
      <sz val="9"/>
      <color indexed="10"/>
      <name val="Arial"/>
      <family val="2"/>
    </font>
    <font>
      <sz val="9"/>
      <color indexed="10"/>
      <name val="Arial"/>
      <family val="2"/>
    </font>
    <font>
      <sz val="9.5"/>
      <color indexed="12"/>
      <name val="Arial"/>
      <family val="2"/>
    </font>
    <font>
      <u val="single"/>
      <sz val="10"/>
      <color indexed="36"/>
      <name val="Arial"/>
      <family val="2"/>
    </font>
    <font>
      <u val="single"/>
      <sz val="14"/>
      <name val="Arial"/>
      <family val="2"/>
    </font>
    <font>
      <i/>
      <u val="single"/>
      <sz val="10"/>
      <color indexed="12"/>
      <name val="Arial"/>
      <family val="2"/>
    </font>
    <font>
      <sz val="14"/>
      <name val="Arial"/>
      <family val="2"/>
    </font>
    <font>
      <sz val="11"/>
      <name val="Arial"/>
      <family val="2"/>
    </font>
    <font>
      <b/>
      <sz val="11"/>
      <name val="Arial"/>
      <family val="2"/>
    </font>
    <font>
      <b/>
      <u val="single"/>
      <sz val="11"/>
      <name val="Arial"/>
      <family val="2"/>
    </font>
    <font>
      <u val="single"/>
      <sz val="11"/>
      <name val="Arial"/>
      <family val="2"/>
    </font>
    <font>
      <sz val="11"/>
      <color indexed="16"/>
      <name val="Arial"/>
      <family val="2"/>
    </font>
    <font>
      <sz val="11"/>
      <color indexed="9"/>
      <name val="Arial"/>
      <family val="2"/>
    </font>
    <font>
      <b/>
      <sz val="11"/>
      <color indexed="16"/>
      <name val="Arial"/>
      <family val="2"/>
    </font>
    <font>
      <sz val="11"/>
      <color indexed="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2"/>
    </font>
    <font>
      <sz val="10"/>
      <color indexed="8"/>
      <name val="Calibri"/>
      <family val="2"/>
    </font>
    <font>
      <sz val="8"/>
      <color indexed="8"/>
      <name val="Calibri"/>
      <family val="2"/>
    </font>
    <font>
      <b/>
      <sz val="12"/>
      <color indexed="8"/>
      <name val="Calibri"/>
      <family val="2"/>
    </font>
    <font>
      <b/>
      <sz val="14"/>
      <color indexed="8"/>
      <name val="Calibri"/>
      <family val="2"/>
    </font>
    <font>
      <b/>
      <vertAlign val="subscript"/>
      <sz val="14"/>
      <color indexed="8"/>
      <name val="Calibri"/>
      <family val="2"/>
    </font>
    <font>
      <b/>
      <sz val="14"/>
      <color indexed="8"/>
      <name val="+mn-ea"/>
      <family val="0"/>
    </font>
    <font>
      <b/>
      <u val="single"/>
      <sz val="12"/>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lightGray">
        <bgColor indexed="9"/>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s>
  <borders count="9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hair"/>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thin"/>
      <top style="thin"/>
      <bottom>
        <color indexed="63"/>
      </bottom>
    </border>
    <border>
      <left style="medium">
        <color indexed="60"/>
      </left>
      <right style="medium">
        <color indexed="60"/>
      </right>
      <top style="medium">
        <color indexed="60"/>
      </top>
      <bottom style="medium">
        <color indexed="60"/>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style="thick"/>
      <bottom style="thick"/>
    </border>
    <border>
      <left style="thin"/>
      <right>
        <color indexed="63"/>
      </right>
      <top style="thin"/>
      <bottom>
        <color indexed="63"/>
      </bottom>
    </border>
    <border>
      <left style="thin"/>
      <right>
        <color indexed="63"/>
      </right>
      <top style="thin"/>
      <bottom style="thin"/>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3"/>
      </left>
      <right style="thin"/>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color indexed="63"/>
      </top>
      <bottom>
        <color indexed="63"/>
      </botto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style="thin"/>
      <top>
        <color indexed="63"/>
      </top>
      <bottom style="thin"/>
    </border>
    <border>
      <left>
        <color indexed="63"/>
      </left>
      <right style="thin">
        <color indexed="23"/>
      </right>
      <top>
        <color indexed="63"/>
      </top>
      <bottom style="thin"/>
    </border>
    <border>
      <left style="thin">
        <color indexed="23"/>
      </left>
      <right style="thin">
        <color indexed="23"/>
      </right>
      <top>
        <color indexed="63"/>
      </top>
      <bottom style="thin"/>
    </border>
    <border>
      <left style="thin">
        <color indexed="23"/>
      </left>
      <right style="thin"/>
      <top>
        <color indexed="6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right style="thin"/>
      <top>
        <color indexed="63"/>
      </top>
      <bottom style="thin"/>
    </border>
    <border>
      <left>
        <color indexed="63"/>
      </left>
      <right style="thin"/>
      <top style="thin"/>
      <bottom style="thin"/>
    </border>
    <border>
      <left style="thin"/>
      <right style="thick"/>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color indexed="63"/>
      </left>
      <right>
        <color indexed="63"/>
      </right>
      <top style="hair">
        <color indexed="22"/>
      </top>
      <bottom>
        <color indexed="63"/>
      </bottom>
    </border>
    <border>
      <left style="thin">
        <color indexed="55"/>
      </left>
      <right style="thin">
        <color indexed="55"/>
      </right>
      <top style="thin">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thin">
        <color indexed="55"/>
      </bottom>
    </border>
    <border>
      <left style="thin">
        <color indexed="55"/>
      </left>
      <right style="thin">
        <color indexed="55"/>
      </right>
      <top style="thin">
        <color indexed="55"/>
      </top>
      <bottom style="thin">
        <color indexed="55"/>
      </bottom>
    </border>
    <border>
      <left>
        <color indexed="63"/>
      </left>
      <right>
        <color indexed="63"/>
      </right>
      <top style="medium"/>
      <bottom style="thin"/>
    </border>
    <border>
      <left style="thick"/>
      <right style="thin"/>
      <top style="thin"/>
      <bottom style="thin"/>
    </border>
    <border>
      <left>
        <color indexed="63"/>
      </left>
      <right>
        <color indexed="63"/>
      </right>
      <top style="thin">
        <color indexed="22"/>
      </top>
      <bottom style="thin">
        <color indexed="22"/>
      </bottom>
    </border>
    <border>
      <left>
        <color indexed="63"/>
      </left>
      <right>
        <color indexed="63"/>
      </right>
      <top>
        <color indexed="63"/>
      </top>
      <bottom style="double"/>
    </border>
    <border>
      <left style="thin">
        <color indexed="8"/>
      </left>
      <right style="thin">
        <color indexed="8"/>
      </right>
      <top style="thin">
        <color indexed="8"/>
      </top>
      <bottom style="medium">
        <color indexed="8"/>
      </bottom>
    </border>
    <border>
      <left style="thin">
        <color indexed="8"/>
      </left>
      <right style="thick">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hair">
        <color indexed="22"/>
      </left>
      <right>
        <color indexed="63"/>
      </right>
      <top style="hair">
        <color indexed="22"/>
      </top>
      <bottom>
        <color indexed="63"/>
      </bottom>
    </border>
    <border>
      <left>
        <color indexed="63"/>
      </left>
      <right style="hair">
        <color indexed="22"/>
      </right>
      <top style="hair">
        <color indexed="22"/>
      </top>
      <bottom>
        <color indexed="63"/>
      </bottom>
    </border>
    <border>
      <left style="hair">
        <color indexed="22"/>
      </left>
      <right>
        <color indexed="63"/>
      </right>
      <top>
        <color indexed="63"/>
      </top>
      <bottom>
        <color indexed="63"/>
      </bottom>
    </border>
    <border>
      <left>
        <color indexed="63"/>
      </left>
      <right style="hair">
        <color indexed="22"/>
      </right>
      <top>
        <color indexed="63"/>
      </top>
      <bottom>
        <color indexed="63"/>
      </bottom>
    </border>
    <border>
      <left style="hair">
        <color indexed="22"/>
      </left>
      <right>
        <color indexed="63"/>
      </right>
      <top>
        <color indexed="63"/>
      </top>
      <bottom style="hair">
        <color indexed="22"/>
      </bottom>
    </border>
    <border>
      <left>
        <color indexed="63"/>
      </left>
      <right>
        <color indexed="63"/>
      </right>
      <top>
        <color indexed="63"/>
      </top>
      <bottom style="hair">
        <color indexed="22"/>
      </bottom>
    </border>
    <border>
      <left>
        <color indexed="63"/>
      </left>
      <right style="hair">
        <color indexed="22"/>
      </right>
      <top>
        <color indexed="63"/>
      </top>
      <bottom style="hair">
        <color indexed="22"/>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26" borderId="1" applyNumberFormat="0" applyAlignment="0" applyProtection="0"/>
    <xf numFmtId="0" fontId="109" fillId="26" borderId="2" applyNumberFormat="0" applyAlignment="0" applyProtection="0"/>
    <xf numFmtId="0" fontId="71" fillId="0" borderId="0" applyNumberFormat="0" applyFill="0" applyBorder="0" applyAlignment="0" applyProtection="0"/>
    <xf numFmtId="164" fontId="1" fillId="0" borderId="0" applyFont="0" applyFill="0" applyBorder="0" applyAlignment="0" applyProtection="0"/>
    <xf numFmtId="0" fontId="110" fillId="27" borderId="2" applyNumberFormat="0" applyAlignment="0" applyProtection="0"/>
    <xf numFmtId="0" fontId="111" fillId="0" borderId="3" applyNumberFormat="0" applyFill="0" applyAlignment="0" applyProtection="0"/>
    <xf numFmtId="0" fontId="112" fillId="0" borderId="0" applyNumberFormat="0" applyFill="0" applyBorder="0" applyAlignment="0" applyProtection="0"/>
    <xf numFmtId="0" fontId="113" fillId="28" borderId="0" applyNumberFormat="0" applyBorder="0" applyAlignment="0" applyProtection="0"/>
    <xf numFmtId="165" fontId="1" fillId="0" borderId="0" applyFont="0" applyFill="0" applyBorder="0" applyAlignment="0" applyProtection="0"/>
    <xf numFmtId="0" fontId="13" fillId="0" borderId="0" applyNumberFormat="0" applyFill="0" applyBorder="0" applyAlignment="0" applyProtection="0"/>
    <xf numFmtId="0" fontId="114"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115" fillId="31" borderId="0" applyNumberFormat="0" applyBorder="0" applyAlignment="0" applyProtection="0"/>
    <xf numFmtId="0" fontId="0" fillId="0" borderId="0">
      <alignment/>
      <protection/>
    </xf>
    <xf numFmtId="0" fontId="106" fillId="0" borderId="0">
      <alignment/>
      <protection/>
    </xf>
    <xf numFmtId="0" fontId="1" fillId="0" borderId="0">
      <alignment/>
      <protection/>
    </xf>
    <xf numFmtId="0" fontId="116" fillId="0" borderId="0" applyNumberFormat="0" applyFill="0" applyBorder="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19" fillId="0" borderId="0" applyNumberFormat="0" applyFill="0" applyBorder="0" applyAlignment="0" applyProtection="0"/>
    <xf numFmtId="0" fontId="120"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21" fillId="0" borderId="0" applyNumberFormat="0" applyFill="0" applyBorder="0" applyAlignment="0" applyProtection="0"/>
    <xf numFmtId="0" fontId="122" fillId="32" borderId="9" applyNumberFormat="0" applyAlignment="0" applyProtection="0"/>
  </cellStyleXfs>
  <cellXfs count="492">
    <xf numFmtId="0" fontId="0" fillId="0" borderId="0" xfId="0" applyAlignment="1">
      <alignment/>
    </xf>
    <xf numFmtId="0" fontId="0" fillId="33" borderId="10" xfId="0" applyNumberFormat="1" applyFill="1" applyBorder="1" applyAlignment="1" applyProtection="1">
      <alignment/>
      <protection locked="0"/>
    </xf>
    <xf numFmtId="0" fontId="0" fillId="33" borderId="11" xfId="0" applyNumberFormat="1" applyFill="1" applyBorder="1" applyAlignment="1" applyProtection="1">
      <alignment/>
      <protection locked="0"/>
    </xf>
    <xf numFmtId="0" fontId="0" fillId="33" borderId="12" xfId="0" applyNumberFormat="1" applyFill="1" applyBorder="1" applyAlignment="1" applyProtection="1">
      <alignment/>
      <protection locked="0"/>
    </xf>
    <xf numFmtId="0" fontId="0" fillId="33" borderId="13" xfId="0" applyNumberFormat="1" applyFill="1" applyBorder="1" applyAlignment="1" applyProtection="1">
      <alignment/>
      <protection locked="0"/>
    </xf>
    <xf numFmtId="0" fontId="0" fillId="33" borderId="10" xfId="0" applyNumberFormat="1" applyFont="1" applyFill="1" applyBorder="1" applyAlignment="1" applyProtection="1">
      <alignment horizontal="right"/>
      <protection locked="0"/>
    </xf>
    <xf numFmtId="175" fontId="0" fillId="33" borderId="10" xfId="0" applyNumberFormat="1" applyFill="1" applyBorder="1" applyAlignment="1" applyProtection="1">
      <alignment horizontal="center"/>
      <protection locked="0"/>
    </xf>
    <xf numFmtId="0" fontId="0" fillId="33" borderId="0" xfId="0" applyNumberFormat="1" applyFont="1" applyFill="1" applyBorder="1" applyAlignment="1" applyProtection="1">
      <alignment/>
      <protection/>
    </xf>
    <xf numFmtId="0" fontId="0" fillId="33" borderId="0" xfId="0" applyNumberFormat="1" applyFill="1" applyAlignment="1" applyProtection="1">
      <alignment/>
      <protection/>
    </xf>
    <xf numFmtId="0" fontId="0" fillId="34" borderId="0" xfId="0" applyNumberFormat="1" applyFill="1" applyAlignment="1" applyProtection="1">
      <alignment/>
      <protection/>
    </xf>
    <xf numFmtId="0" fontId="5" fillId="33" borderId="0" xfId="0" applyNumberFormat="1" applyFont="1" applyFill="1" applyAlignment="1" applyProtection="1">
      <alignment/>
      <protection/>
    </xf>
    <xf numFmtId="0" fontId="0" fillId="33" borderId="0" xfId="0" applyFill="1" applyAlignment="1" applyProtection="1">
      <alignment/>
      <protection/>
    </xf>
    <xf numFmtId="0" fontId="0" fillId="33" borderId="0" xfId="0" applyNumberFormat="1" applyFont="1" applyFill="1" applyAlignment="1" applyProtection="1">
      <alignment/>
      <protection/>
    </xf>
    <xf numFmtId="0" fontId="7" fillId="33" borderId="0" xfId="0" applyNumberFormat="1" applyFont="1" applyFill="1" applyAlignment="1" applyProtection="1">
      <alignment/>
      <protection/>
    </xf>
    <xf numFmtId="0" fontId="0" fillId="33" borderId="0" xfId="0" applyNumberFormat="1" applyFill="1" applyBorder="1" applyAlignment="1" applyProtection="1">
      <alignment/>
      <protection/>
    </xf>
    <xf numFmtId="0" fontId="0" fillId="33" borderId="14" xfId="0" applyNumberFormat="1" applyFill="1" applyBorder="1" applyAlignment="1" applyProtection="1">
      <alignment/>
      <protection/>
    </xf>
    <xf numFmtId="0" fontId="0" fillId="33" borderId="15" xfId="0" applyNumberFormat="1" applyFill="1" applyBorder="1" applyAlignment="1" applyProtection="1">
      <alignment/>
      <protection/>
    </xf>
    <xf numFmtId="0" fontId="13" fillId="33" borderId="0" xfId="0" applyNumberFormat="1" applyFont="1" applyFill="1" applyAlignment="1" applyProtection="1">
      <alignment/>
      <protection/>
    </xf>
    <xf numFmtId="0" fontId="2" fillId="33" borderId="0" xfId="0" applyNumberFormat="1" applyFont="1" applyFill="1" applyAlignment="1" applyProtection="1">
      <alignment/>
      <protection/>
    </xf>
    <xf numFmtId="0" fontId="2" fillId="33" borderId="10" xfId="0" applyNumberFormat="1" applyFont="1" applyFill="1" applyBorder="1" applyAlignment="1" applyProtection="1">
      <alignment wrapText="1"/>
      <protection/>
    </xf>
    <xf numFmtId="0" fontId="2" fillId="33" borderId="10" xfId="0" applyNumberFormat="1" applyFont="1" applyFill="1" applyBorder="1" applyAlignment="1" applyProtection="1">
      <alignment/>
      <protection/>
    </xf>
    <xf numFmtId="49" fontId="2" fillId="33" borderId="10" xfId="0" applyNumberFormat="1" applyFont="1" applyFill="1" applyBorder="1" applyAlignment="1" applyProtection="1">
      <alignment horizontal="right"/>
      <protection/>
    </xf>
    <xf numFmtId="0" fontId="2" fillId="33" borderId="10" xfId="0" applyNumberFormat="1" applyFont="1" applyFill="1" applyBorder="1" applyAlignment="1" applyProtection="1">
      <alignment/>
      <protection/>
    </xf>
    <xf numFmtId="0" fontId="29" fillId="33" borderId="0" xfId="0" applyNumberFormat="1" applyFont="1" applyFill="1" applyAlignment="1" applyProtection="1">
      <alignment vertical="center"/>
      <protection/>
    </xf>
    <xf numFmtId="0" fontId="2" fillId="33" borderId="0" xfId="0" applyNumberFormat="1" applyFont="1" applyFill="1" applyAlignment="1" applyProtection="1">
      <alignment horizontal="right"/>
      <protection/>
    </xf>
    <xf numFmtId="0" fontId="2" fillId="33" borderId="0" xfId="0" applyNumberFormat="1" applyFont="1" applyFill="1" applyAlignment="1" applyProtection="1">
      <alignment horizontal="left"/>
      <protection/>
    </xf>
    <xf numFmtId="0" fontId="29" fillId="33" borderId="0" xfId="0" applyNumberFormat="1" applyFont="1" applyFill="1" applyAlignment="1" applyProtection="1">
      <alignment/>
      <protection/>
    </xf>
    <xf numFmtId="0" fontId="2" fillId="33" borderId="12" xfId="0" applyNumberFormat="1" applyFont="1" applyFill="1" applyBorder="1" applyAlignment="1" applyProtection="1">
      <alignment/>
      <protection/>
    </xf>
    <xf numFmtId="0" fontId="2" fillId="33" borderId="11" xfId="0" applyNumberFormat="1" applyFont="1" applyFill="1" applyBorder="1" applyAlignment="1" applyProtection="1">
      <alignment/>
      <protection/>
    </xf>
    <xf numFmtId="0" fontId="2" fillId="33" borderId="12" xfId="0" applyNumberFormat="1" applyFont="1" applyFill="1" applyBorder="1" applyAlignment="1" applyProtection="1">
      <alignment/>
      <protection/>
    </xf>
    <xf numFmtId="0" fontId="2" fillId="33" borderId="10" xfId="0" applyNumberFormat="1" applyFont="1" applyFill="1" applyBorder="1" applyAlignment="1" applyProtection="1">
      <alignment horizontal="right"/>
      <protection/>
    </xf>
    <xf numFmtId="0" fontId="2" fillId="33" borderId="16" xfId="0" applyNumberFormat="1" applyFont="1" applyFill="1" applyBorder="1" applyAlignment="1" applyProtection="1">
      <alignment/>
      <protection/>
    </xf>
    <xf numFmtId="0" fontId="2" fillId="33" borderId="17" xfId="0" applyNumberFormat="1" applyFont="1" applyFill="1" applyBorder="1" applyAlignment="1" applyProtection="1">
      <alignment/>
      <protection/>
    </xf>
    <xf numFmtId="0" fontId="2" fillId="33" borderId="0" xfId="0" applyNumberFormat="1" applyFont="1" applyFill="1" applyBorder="1" applyAlignment="1" applyProtection="1">
      <alignment/>
      <protection/>
    </xf>
    <xf numFmtId="0" fontId="2" fillId="33" borderId="0" xfId="0" applyNumberFormat="1" applyFont="1" applyFill="1" applyBorder="1" applyAlignment="1" applyProtection="1">
      <alignment/>
      <protection/>
    </xf>
    <xf numFmtId="0" fontId="2" fillId="33" borderId="0" xfId="0" applyNumberFormat="1" applyFont="1" applyFill="1" applyBorder="1" applyAlignment="1" applyProtection="1">
      <alignment horizontal="center"/>
      <protection/>
    </xf>
    <xf numFmtId="0" fontId="30" fillId="33" borderId="0" xfId="0" applyNumberFormat="1" applyFont="1" applyFill="1" applyBorder="1" applyAlignment="1" applyProtection="1">
      <alignment/>
      <protection/>
    </xf>
    <xf numFmtId="0" fontId="31" fillId="33" borderId="0" xfId="0" applyNumberFormat="1" applyFont="1" applyFill="1" applyBorder="1" applyAlignment="1" applyProtection="1">
      <alignment horizontal="right"/>
      <protection/>
    </xf>
    <xf numFmtId="0" fontId="2" fillId="33" borderId="0" xfId="0" applyNumberFormat="1" applyFont="1" applyFill="1" applyBorder="1" applyAlignment="1" applyProtection="1">
      <alignment horizontal="left"/>
      <protection/>
    </xf>
    <xf numFmtId="0" fontId="2" fillId="33" borderId="11" xfId="0" applyNumberFormat="1" applyFont="1" applyFill="1" applyBorder="1" applyAlignment="1" applyProtection="1">
      <alignment/>
      <protection/>
    </xf>
    <xf numFmtId="0" fontId="2" fillId="33" borderId="18" xfId="0" applyNumberFormat="1" applyFont="1" applyFill="1" applyBorder="1" applyAlignment="1" applyProtection="1">
      <alignment horizontal="right"/>
      <protection/>
    </xf>
    <xf numFmtId="0" fontId="2" fillId="33" borderId="13" xfId="0" applyNumberFormat="1" applyFont="1" applyFill="1" applyBorder="1" applyAlignment="1" applyProtection="1">
      <alignment/>
      <protection/>
    </xf>
    <xf numFmtId="0" fontId="2" fillId="33" borderId="13" xfId="0" applyNumberFormat="1" applyFont="1" applyFill="1" applyBorder="1" applyAlignment="1" applyProtection="1">
      <alignment/>
      <protection/>
    </xf>
    <xf numFmtId="0" fontId="2" fillId="33" borderId="19" xfId="0" applyNumberFormat="1" applyFont="1" applyFill="1" applyBorder="1" applyAlignment="1" applyProtection="1">
      <alignment horizontal="right"/>
      <protection/>
    </xf>
    <xf numFmtId="0" fontId="2" fillId="33" borderId="10" xfId="0" applyNumberFormat="1" applyFont="1" applyFill="1" applyBorder="1" applyAlignment="1" applyProtection="1">
      <alignment horizontal="center"/>
      <protection/>
    </xf>
    <xf numFmtId="0" fontId="6" fillId="33" borderId="0" xfId="0" applyNumberFormat="1" applyFont="1" applyFill="1" applyAlignment="1" applyProtection="1">
      <alignment/>
      <protection/>
    </xf>
    <xf numFmtId="0" fontId="2" fillId="33" borderId="10" xfId="0" applyNumberFormat="1" applyFont="1" applyFill="1" applyBorder="1" applyAlignment="1" applyProtection="1">
      <alignment horizontal="center" vertical="center"/>
      <protection/>
    </xf>
    <xf numFmtId="180" fontId="2" fillId="33" borderId="10" xfId="0" applyNumberFormat="1" applyFont="1" applyFill="1" applyBorder="1" applyAlignment="1" applyProtection="1">
      <alignment horizontal="center"/>
      <protection/>
    </xf>
    <xf numFmtId="0" fontId="0" fillId="33" borderId="14" xfId="0" applyNumberFormat="1" applyFont="1" applyFill="1" applyBorder="1" applyAlignment="1" applyProtection="1">
      <alignment/>
      <protection/>
    </xf>
    <xf numFmtId="0" fontId="0" fillId="33" borderId="20" xfId="0" applyNumberFormat="1" applyFill="1" applyBorder="1" applyAlignment="1" applyProtection="1">
      <alignment/>
      <protection/>
    </xf>
    <xf numFmtId="0" fontId="7" fillId="33" borderId="0" xfId="0" applyNumberFormat="1" applyFont="1" applyFill="1" applyBorder="1" applyAlignment="1" applyProtection="1">
      <alignment/>
      <protection/>
    </xf>
    <xf numFmtId="0" fontId="0" fillId="33" borderId="21"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0" fontId="0" fillId="33" borderId="0" xfId="0" applyNumberFormat="1" applyFill="1" applyBorder="1" applyAlignment="1" applyProtection="1">
      <alignment/>
      <protection/>
    </xf>
    <xf numFmtId="0" fontId="0" fillId="33" borderId="22" xfId="0" applyNumberFormat="1" applyFill="1" applyBorder="1" applyAlignment="1" applyProtection="1">
      <alignment/>
      <protection/>
    </xf>
    <xf numFmtId="0" fontId="8" fillId="33" borderId="0" xfId="0" applyNumberFormat="1" applyFont="1" applyFill="1" applyAlignment="1" applyProtection="1">
      <alignment/>
      <protection/>
    </xf>
    <xf numFmtId="0" fontId="0" fillId="33" borderId="23" xfId="0" applyNumberFormat="1" applyFill="1" applyBorder="1" applyAlignment="1" applyProtection="1">
      <alignment horizontal="left"/>
      <protection locked="0"/>
    </xf>
    <xf numFmtId="0" fontId="0" fillId="33" borderId="14" xfId="0" applyNumberFormat="1" applyFill="1" applyBorder="1" applyAlignment="1" applyProtection="1">
      <alignment horizontal="left"/>
      <protection locked="0"/>
    </xf>
    <xf numFmtId="0" fontId="0" fillId="33" borderId="24" xfId="0" applyNumberFormat="1" applyFill="1" applyBorder="1" applyAlignment="1" applyProtection="1">
      <alignment horizontal="left"/>
      <protection locked="0"/>
    </xf>
    <xf numFmtId="0" fontId="0" fillId="33" borderId="14" xfId="0" applyNumberFormat="1" applyFont="1" applyFill="1" applyBorder="1" applyAlignment="1" applyProtection="1">
      <alignment horizontal="left"/>
      <protection locked="0"/>
    </xf>
    <xf numFmtId="0" fontId="2" fillId="33" borderId="0" xfId="0" applyNumberFormat="1" applyFont="1" applyFill="1" applyAlignment="1" applyProtection="1">
      <alignment/>
      <protection/>
    </xf>
    <xf numFmtId="0" fontId="0" fillId="33" borderId="10" xfId="0" applyNumberFormat="1" applyFill="1" applyBorder="1" applyAlignment="1" applyProtection="1">
      <alignment horizontal="right"/>
      <protection locked="0"/>
    </xf>
    <xf numFmtId="0" fontId="9" fillId="33" borderId="14" xfId="0" applyNumberFormat="1" applyFont="1" applyFill="1" applyBorder="1" applyAlignment="1" applyProtection="1">
      <alignment/>
      <protection/>
    </xf>
    <xf numFmtId="0" fontId="0" fillId="33" borderId="14" xfId="0" applyNumberFormat="1" applyFont="1" applyFill="1" applyBorder="1" applyAlignment="1" applyProtection="1">
      <alignment horizontal="right"/>
      <protection/>
    </xf>
    <xf numFmtId="0" fontId="0" fillId="33" borderId="22" xfId="0" applyNumberFormat="1" applyFill="1" applyBorder="1" applyAlignment="1" applyProtection="1">
      <alignment/>
      <protection/>
    </xf>
    <xf numFmtId="0" fontId="0" fillId="33" borderId="16" xfId="0" applyNumberFormat="1" applyFill="1" applyBorder="1" applyAlignment="1" applyProtection="1">
      <alignment/>
      <protection/>
    </xf>
    <xf numFmtId="0" fontId="0" fillId="33" borderId="0" xfId="0" applyNumberFormat="1" applyFont="1" applyFill="1" applyAlignment="1" applyProtection="1">
      <alignment vertical="center"/>
      <protection/>
    </xf>
    <xf numFmtId="0" fontId="0" fillId="33" borderId="25" xfId="0" applyNumberFormat="1" applyFill="1" applyBorder="1" applyAlignment="1" applyProtection="1">
      <alignment/>
      <protection/>
    </xf>
    <xf numFmtId="0" fontId="0" fillId="33" borderId="21" xfId="0" applyNumberFormat="1" applyFill="1" applyBorder="1" applyAlignment="1" applyProtection="1">
      <alignment/>
      <protection/>
    </xf>
    <xf numFmtId="0" fontId="0" fillId="33" borderId="20" xfId="0" applyNumberFormat="1" applyFill="1" applyBorder="1" applyAlignment="1" applyProtection="1">
      <alignment/>
      <protection/>
    </xf>
    <xf numFmtId="0" fontId="0" fillId="33" borderId="14" xfId="0" applyNumberFormat="1" applyFill="1" applyBorder="1" applyAlignment="1" applyProtection="1">
      <alignment/>
      <protection/>
    </xf>
    <xf numFmtId="0" fontId="0" fillId="33" borderId="14" xfId="0" applyNumberFormat="1" applyFill="1" applyBorder="1" applyAlignment="1" applyProtection="1">
      <alignment horizontal="left"/>
      <protection/>
    </xf>
    <xf numFmtId="0" fontId="0" fillId="33" borderId="0" xfId="0" applyNumberFormat="1" applyFont="1" applyFill="1" applyAlignment="1" applyProtection="1">
      <alignment horizontal="right"/>
      <protection/>
    </xf>
    <xf numFmtId="0" fontId="29" fillId="33" borderId="0" xfId="0" applyNumberFormat="1" applyFont="1" applyFill="1" applyAlignment="1" applyProtection="1">
      <alignment horizontal="left"/>
      <protection/>
    </xf>
    <xf numFmtId="0" fontId="32" fillId="33" borderId="0" xfId="0" applyNumberFormat="1" applyFont="1" applyFill="1" applyAlignment="1" applyProtection="1">
      <alignment/>
      <protection/>
    </xf>
    <xf numFmtId="0" fontId="32" fillId="33" borderId="0" xfId="0" applyNumberFormat="1" applyFont="1" applyFill="1" applyBorder="1" applyAlignment="1" applyProtection="1">
      <alignment/>
      <protection/>
    </xf>
    <xf numFmtId="0" fontId="10" fillId="33" borderId="0" xfId="0" applyNumberFormat="1" applyFont="1" applyFill="1" applyAlignment="1" applyProtection="1">
      <alignment/>
      <protection/>
    </xf>
    <xf numFmtId="0" fontId="10" fillId="33" borderId="0" xfId="0" applyFont="1" applyFill="1" applyAlignment="1" applyProtection="1">
      <alignment/>
      <protection/>
    </xf>
    <xf numFmtId="0" fontId="10" fillId="33" borderId="0" xfId="0" applyNumberFormat="1" applyFont="1" applyFill="1" applyBorder="1" applyAlignment="1" applyProtection="1">
      <alignment/>
      <protection/>
    </xf>
    <xf numFmtId="0" fontId="33" fillId="33" borderId="26" xfId="0" applyNumberFormat="1" applyFont="1" applyFill="1" applyBorder="1" applyAlignment="1" applyProtection="1">
      <alignment vertical="center"/>
      <protection/>
    </xf>
    <xf numFmtId="0" fontId="32" fillId="33" borderId="27" xfId="0" applyNumberFormat="1" applyFont="1" applyFill="1" applyBorder="1" applyAlignment="1" applyProtection="1">
      <alignment/>
      <protection/>
    </xf>
    <xf numFmtId="0" fontId="32" fillId="33" borderId="28" xfId="0" applyNumberFormat="1" applyFont="1" applyFill="1" applyBorder="1" applyAlignment="1" applyProtection="1">
      <alignment/>
      <protection/>
    </xf>
    <xf numFmtId="0" fontId="32" fillId="33" borderId="29" xfId="0" applyNumberFormat="1" applyFont="1" applyFill="1" applyBorder="1" applyAlignment="1" applyProtection="1">
      <alignment horizontal="center"/>
      <protection/>
    </xf>
    <xf numFmtId="0" fontId="32" fillId="33" borderId="30" xfId="0" applyNumberFormat="1" applyFont="1" applyFill="1" applyBorder="1" applyAlignment="1" applyProtection="1">
      <alignment/>
      <protection/>
    </xf>
    <xf numFmtId="0" fontId="32" fillId="33" borderId="31" xfId="0" applyNumberFormat="1" applyFont="1" applyFill="1" applyBorder="1" applyAlignment="1" applyProtection="1">
      <alignment horizontal="center"/>
      <protection/>
    </xf>
    <xf numFmtId="0" fontId="0" fillId="33" borderId="0" xfId="0" applyNumberFormat="1" applyFill="1" applyBorder="1" applyAlignment="1" applyProtection="1">
      <alignment horizontal="left"/>
      <protection/>
    </xf>
    <xf numFmtId="0" fontId="0" fillId="33" borderId="20" xfId="0" applyNumberFormat="1" applyFont="1" applyFill="1" applyBorder="1" applyAlignment="1" applyProtection="1">
      <alignment/>
      <protection/>
    </xf>
    <xf numFmtId="175" fontId="0" fillId="33" borderId="14" xfId="0" applyNumberFormat="1" applyFill="1" applyBorder="1" applyAlignment="1" applyProtection="1">
      <alignment horizontal="right"/>
      <protection locked="0"/>
    </xf>
    <xf numFmtId="187" fontId="0" fillId="33" borderId="14" xfId="0" applyNumberFormat="1" applyFill="1" applyBorder="1" applyAlignment="1" applyProtection="1">
      <alignment horizontal="right"/>
      <protection locked="0"/>
    </xf>
    <xf numFmtId="0" fontId="0" fillId="33" borderId="32" xfId="0" applyNumberFormat="1" applyFont="1" applyFill="1" applyBorder="1" applyAlignment="1" applyProtection="1">
      <alignment/>
      <protection/>
    </xf>
    <xf numFmtId="0" fontId="0" fillId="33" borderId="32" xfId="0" applyNumberFormat="1" applyFill="1" applyBorder="1" applyAlignment="1" applyProtection="1">
      <alignment/>
      <protection/>
    </xf>
    <xf numFmtId="0" fontId="0" fillId="33" borderId="22" xfId="0" applyNumberFormat="1" applyFont="1" applyFill="1" applyBorder="1" applyAlignment="1" applyProtection="1">
      <alignment/>
      <protection/>
    </xf>
    <xf numFmtId="0" fontId="0" fillId="33" borderId="17" xfId="0" applyNumberFormat="1" applyFill="1" applyBorder="1" applyAlignment="1" applyProtection="1">
      <alignment/>
      <protection/>
    </xf>
    <xf numFmtId="0" fontId="0" fillId="33" borderId="21" xfId="0" applyNumberFormat="1" applyFill="1" applyBorder="1" applyAlignment="1" applyProtection="1">
      <alignment/>
      <protection/>
    </xf>
    <xf numFmtId="0" fontId="0" fillId="33" borderId="17" xfId="0" applyNumberFormat="1" applyFill="1" applyBorder="1" applyAlignment="1" applyProtection="1">
      <alignment horizontal="left"/>
      <protection/>
    </xf>
    <xf numFmtId="0" fontId="34" fillId="33" borderId="22" xfId="0" applyNumberFormat="1" applyFont="1" applyFill="1" applyBorder="1" applyAlignment="1" applyProtection="1">
      <alignment horizontal="left"/>
      <protection/>
    </xf>
    <xf numFmtId="0" fontId="0" fillId="33" borderId="21" xfId="0" applyNumberFormat="1" applyFill="1" applyBorder="1" applyAlignment="1" applyProtection="1">
      <alignment horizontal="left"/>
      <protection/>
    </xf>
    <xf numFmtId="0" fontId="0" fillId="33" borderId="33" xfId="0" applyNumberFormat="1" applyFont="1" applyFill="1" applyBorder="1" applyAlignment="1" applyProtection="1">
      <alignment/>
      <protection/>
    </xf>
    <xf numFmtId="0" fontId="0" fillId="33" borderId="0" xfId="0" applyFill="1" applyBorder="1" applyAlignment="1" applyProtection="1">
      <alignment/>
      <protection/>
    </xf>
    <xf numFmtId="0" fontId="0" fillId="33" borderId="34" xfId="0" applyNumberFormat="1" applyFont="1" applyFill="1" applyBorder="1" applyAlignment="1" applyProtection="1">
      <alignment horizontal="left"/>
      <protection/>
    </xf>
    <xf numFmtId="0" fontId="0" fillId="33" borderId="15" xfId="0" applyNumberFormat="1" applyFill="1" applyBorder="1" applyAlignment="1" applyProtection="1">
      <alignment horizontal="left"/>
      <protection/>
    </xf>
    <xf numFmtId="0" fontId="2" fillId="33" borderId="0" xfId="0" applyNumberFormat="1" applyFont="1" applyFill="1" applyBorder="1" applyAlignment="1" applyProtection="1">
      <alignment horizontal="right"/>
      <protection/>
    </xf>
    <xf numFmtId="0" fontId="2" fillId="33" borderId="0" xfId="0" applyNumberFormat="1" applyFont="1" applyFill="1" applyBorder="1" applyAlignment="1" applyProtection="1">
      <alignment vertical="center"/>
      <protection/>
    </xf>
    <xf numFmtId="0" fontId="0" fillId="33" borderId="24" xfId="0" applyNumberFormat="1" applyFont="1" applyFill="1" applyBorder="1" applyAlignment="1" applyProtection="1">
      <alignment horizontal="left"/>
      <protection locked="0"/>
    </xf>
    <xf numFmtId="0" fontId="32" fillId="33" borderId="35" xfId="0" applyNumberFormat="1" applyFont="1" applyFill="1" applyBorder="1" applyAlignment="1" applyProtection="1">
      <alignment/>
      <protection/>
    </xf>
    <xf numFmtId="0" fontId="32" fillId="33" borderId="36" xfId="0" applyNumberFormat="1" applyFont="1" applyFill="1" applyBorder="1" applyAlignment="1" applyProtection="1">
      <alignment/>
      <protection/>
    </xf>
    <xf numFmtId="0" fontId="32" fillId="33" borderId="37" xfId="0" applyNumberFormat="1" applyFont="1" applyFill="1" applyBorder="1" applyAlignment="1" applyProtection="1">
      <alignment horizontal="center"/>
      <protection/>
    </xf>
    <xf numFmtId="0" fontId="7" fillId="33" borderId="14" xfId="0" applyNumberFormat="1" applyFont="1" applyFill="1" applyBorder="1" applyAlignment="1" applyProtection="1">
      <alignment/>
      <protection/>
    </xf>
    <xf numFmtId="0" fontId="14" fillId="33" borderId="0" xfId="53" applyFont="1" applyFill="1">
      <alignment/>
      <protection/>
    </xf>
    <xf numFmtId="0" fontId="0" fillId="33" borderId="0" xfId="53" applyFill="1">
      <alignment/>
      <protection/>
    </xf>
    <xf numFmtId="0" fontId="6" fillId="33" borderId="0" xfId="53" applyFont="1" applyFill="1" applyAlignment="1">
      <alignment horizontal="right"/>
      <protection/>
    </xf>
    <xf numFmtId="0" fontId="6" fillId="33" borderId="0" xfId="53" applyFont="1" applyFill="1" applyAlignment="1">
      <alignment horizontal="left"/>
      <protection/>
    </xf>
    <xf numFmtId="0" fontId="0" fillId="0" borderId="0" xfId="53">
      <alignment/>
      <protection/>
    </xf>
    <xf numFmtId="0" fontId="15" fillId="33" borderId="0" xfId="53" applyFont="1" applyFill="1" applyAlignment="1">
      <alignment vertical="top"/>
      <protection/>
    </xf>
    <xf numFmtId="0" fontId="17" fillId="33" borderId="0" xfId="53" applyFont="1" applyFill="1" applyAlignment="1">
      <alignment vertical="top" wrapText="1"/>
      <protection/>
    </xf>
    <xf numFmtId="0" fontId="22" fillId="35" borderId="38" xfId="53" applyFont="1" applyFill="1" applyBorder="1" applyAlignment="1">
      <alignment wrapText="1"/>
      <protection/>
    </xf>
    <xf numFmtId="0" fontId="22" fillId="35" borderId="39" xfId="53" applyFont="1" applyFill="1" applyBorder="1" applyAlignment="1">
      <alignment wrapText="1"/>
      <protection/>
    </xf>
    <xf numFmtId="0" fontId="22" fillId="35" borderId="40" xfId="53" applyFont="1" applyFill="1" applyBorder="1" applyAlignment="1">
      <alignment wrapText="1"/>
      <protection/>
    </xf>
    <xf numFmtId="0" fontId="22" fillId="35" borderId="41" xfId="53" applyFont="1" applyFill="1" applyBorder="1" applyAlignment="1">
      <alignment wrapText="1"/>
      <protection/>
    </xf>
    <xf numFmtId="0" fontId="22" fillId="35" borderId="42" xfId="53" applyFont="1" applyFill="1" applyBorder="1" applyAlignment="1">
      <alignment wrapText="1"/>
      <protection/>
    </xf>
    <xf numFmtId="0" fontId="22" fillId="35" borderId="43" xfId="53" applyFont="1" applyFill="1" applyBorder="1" applyAlignment="1">
      <alignment wrapText="1"/>
      <protection/>
    </xf>
    <xf numFmtId="0" fontId="23" fillId="35" borderId="44" xfId="53" applyFont="1" applyFill="1" applyBorder="1" applyAlignment="1">
      <alignment horizontal="right" wrapText="1"/>
      <protection/>
    </xf>
    <xf numFmtId="0" fontId="22" fillId="35" borderId="45" xfId="53" applyFont="1" applyFill="1" applyBorder="1" applyAlignment="1">
      <alignment wrapText="1"/>
      <protection/>
    </xf>
    <xf numFmtId="0" fontId="22" fillId="35" borderId="46" xfId="53" applyFont="1" applyFill="1" applyBorder="1" applyAlignment="1">
      <alignment wrapText="1"/>
      <protection/>
    </xf>
    <xf numFmtId="0" fontId="24" fillId="35" borderId="41" xfId="53" applyFont="1" applyFill="1" applyBorder="1" applyAlignment="1">
      <alignment horizontal="right" wrapText="1"/>
      <protection/>
    </xf>
    <xf numFmtId="0" fontId="25" fillId="36" borderId="42" xfId="53" applyFont="1" applyFill="1" applyBorder="1" applyAlignment="1">
      <alignment horizontal="right" wrapText="1"/>
      <protection/>
    </xf>
    <xf numFmtId="0" fontId="25" fillId="37" borderId="43" xfId="53" applyFont="1" applyFill="1" applyBorder="1" applyAlignment="1">
      <alignment horizontal="right" wrapText="1"/>
      <protection/>
    </xf>
    <xf numFmtId="0" fontId="25" fillId="38" borderId="43" xfId="53" applyFont="1" applyFill="1" applyBorder="1" applyAlignment="1">
      <alignment horizontal="right" wrapText="1"/>
      <protection/>
    </xf>
    <xf numFmtId="0" fontId="26" fillId="38" borderId="43" xfId="53" applyFont="1" applyFill="1" applyBorder="1" applyAlignment="1">
      <alignment wrapText="1"/>
      <protection/>
    </xf>
    <xf numFmtId="0" fontId="27" fillId="35" borderId="41" xfId="53" applyFont="1" applyFill="1" applyBorder="1" applyAlignment="1">
      <alignment horizontal="right" wrapText="1"/>
      <protection/>
    </xf>
    <xf numFmtId="0" fontId="27" fillId="35" borderId="44" xfId="53" applyFont="1" applyFill="1" applyBorder="1" applyAlignment="1">
      <alignment horizontal="right" wrapText="1"/>
      <protection/>
    </xf>
    <xf numFmtId="0" fontId="25" fillId="36" borderId="45" xfId="53" applyFont="1" applyFill="1" applyBorder="1" applyAlignment="1">
      <alignment horizontal="right" wrapText="1"/>
      <protection/>
    </xf>
    <xf numFmtId="0" fontId="25" fillId="37" borderId="46" xfId="53" applyFont="1" applyFill="1" applyBorder="1" applyAlignment="1">
      <alignment horizontal="right" wrapText="1"/>
      <protection/>
    </xf>
    <xf numFmtId="0" fontId="25" fillId="38" borderId="46" xfId="53" applyFont="1" applyFill="1" applyBorder="1" applyAlignment="1">
      <alignment horizontal="right" wrapText="1"/>
      <protection/>
    </xf>
    <xf numFmtId="0" fontId="26" fillId="38" borderId="46" xfId="53" applyFont="1" applyFill="1" applyBorder="1" applyAlignment="1">
      <alignment wrapText="1"/>
      <protection/>
    </xf>
    <xf numFmtId="0" fontId="27" fillId="35" borderId="47" xfId="53" applyFont="1" applyFill="1" applyBorder="1" applyAlignment="1">
      <alignment horizontal="right" wrapText="1"/>
      <protection/>
    </xf>
    <xf numFmtId="0" fontId="25" fillId="36" borderId="48" xfId="53" applyFont="1" applyFill="1" applyBorder="1" applyAlignment="1">
      <alignment horizontal="right" wrapText="1"/>
      <protection/>
    </xf>
    <xf numFmtId="0" fontId="25" fillId="37" borderId="49" xfId="53" applyFont="1" applyFill="1" applyBorder="1" applyAlignment="1">
      <alignment horizontal="right" wrapText="1"/>
      <protection/>
    </xf>
    <xf numFmtId="0" fontId="25" fillId="38" borderId="49" xfId="53" applyFont="1" applyFill="1" applyBorder="1" applyAlignment="1">
      <alignment horizontal="right" wrapText="1"/>
      <protection/>
    </xf>
    <xf numFmtId="186" fontId="2" fillId="33" borderId="10" xfId="0" applyNumberFormat="1" applyFont="1" applyFill="1" applyBorder="1" applyAlignment="1" applyProtection="1">
      <alignment horizontal="center"/>
      <protection/>
    </xf>
    <xf numFmtId="0" fontId="2" fillId="33" borderId="21" xfId="0" applyNumberFormat="1" applyFont="1" applyFill="1" applyBorder="1" applyAlignment="1" applyProtection="1">
      <alignment horizontal="center"/>
      <protection/>
    </xf>
    <xf numFmtId="0" fontId="28" fillId="33" borderId="10" xfId="0" applyNumberFormat="1" applyFont="1" applyFill="1" applyBorder="1" applyAlignment="1" applyProtection="1">
      <alignment horizontal="center"/>
      <protection locked="0"/>
    </xf>
    <xf numFmtId="175" fontId="28" fillId="33" borderId="10" xfId="0" applyNumberFormat="1" applyFont="1" applyFill="1" applyBorder="1" applyAlignment="1" applyProtection="1">
      <alignment horizontal="center"/>
      <protection locked="0"/>
    </xf>
    <xf numFmtId="0" fontId="0" fillId="33" borderId="0" xfId="0" applyNumberFormat="1" applyFont="1" applyFill="1" applyBorder="1" applyAlignment="1" applyProtection="1">
      <alignment/>
      <protection/>
    </xf>
    <xf numFmtId="0" fontId="0" fillId="33" borderId="20" xfId="0" applyNumberFormat="1" applyFont="1" applyFill="1" applyBorder="1" applyAlignment="1" applyProtection="1">
      <alignment horizontal="left"/>
      <protection/>
    </xf>
    <xf numFmtId="0" fontId="5" fillId="33" borderId="22" xfId="0" applyNumberFormat="1" applyFont="1" applyFill="1" applyBorder="1" applyAlignment="1" applyProtection="1">
      <alignment/>
      <protection/>
    </xf>
    <xf numFmtId="0" fontId="0" fillId="33" borderId="10" xfId="0" applyNumberFormat="1" applyFill="1" applyBorder="1" applyAlignment="1" applyProtection="1">
      <alignment/>
      <protection/>
    </xf>
    <xf numFmtId="0" fontId="7" fillId="33" borderId="0" xfId="0" applyNumberFormat="1" applyFont="1" applyFill="1" applyBorder="1" applyAlignment="1" applyProtection="1">
      <alignment horizontal="center"/>
      <protection/>
    </xf>
    <xf numFmtId="0" fontId="0" fillId="33" borderId="22" xfId="0" applyFill="1" applyBorder="1" applyAlignment="1" applyProtection="1">
      <alignment/>
      <protection/>
    </xf>
    <xf numFmtId="0" fontId="4" fillId="33" borderId="0" xfId="0" applyNumberFormat="1" applyFont="1" applyFill="1" applyBorder="1" applyAlignment="1" applyProtection="1">
      <alignment/>
      <protection/>
    </xf>
    <xf numFmtId="0" fontId="0" fillId="33" borderId="14" xfId="0" applyNumberFormat="1" applyFont="1" applyFill="1" applyBorder="1" applyAlignment="1" applyProtection="1">
      <alignment horizontal="left"/>
      <protection/>
    </xf>
    <xf numFmtId="0" fontId="5" fillId="33" borderId="22" xfId="0" applyFont="1" applyFill="1" applyBorder="1" applyAlignment="1" applyProtection="1">
      <alignment/>
      <protection/>
    </xf>
    <xf numFmtId="187" fontId="0" fillId="33" borderId="20" xfId="0" applyNumberFormat="1" applyFill="1" applyBorder="1" applyAlignment="1" applyProtection="1">
      <alignment horizontal="left"/>
      <protection/>
    </xf>
    <xf numFmtId="49" fontId="0" fillId="33" borderId="0" xfId="0" applyNumberFormat="1" applyFont="1" applyFill="1" applyBorder="1" applyAlignment="1" applyProtection="1">
      <alignment horizontal="left"/>
      <protection/>
    </xf>
    <xf numFmtId="0" fontId="0" fillId="33" borderId="14" xfId="0" applyNumberFormat="1" applyFill="1" applyBorder="1" applyAlignment="1" applyProtection="1">
      <alignment/>
      <protection locked="0"/>
    </xf>
    <xf numFmtId="0" fontId="0" fillId="33" borderId="15" xfId="0" applyNumberFormat="1" applyFill="1" applyBorder="1" applyAlignment="1" applyProtection="1">
      <alignment/>
      <protection locked="0"/>
    </xf>
    <xf numFmtId="0" fontId="0" fillId="33" borderId="16" xfId="0" applyFill="1" applyBorder="1" applyAlignment="1" applyProtection="1">
      <alignment/>
      <protection locked="0"/>
    </xf>
    <xf numFmtId="0" fontId="0" fillId="33" borderId="14" xfId="0" applyFill="1" applyBorder="1" applyAlignment="1" applyProtection="1">
      <alignment/>
      <protection locked="0"/>
    </xf>
    <xf numFmtId="0" fontId="0" fillId="33" borderId="17" xfId="0" applyNumberFormat="1" applyFill="1" applyBorder="1" applyAlignment="1" applyProtection="1">
      <alignment/>
      <protection locked="0"/>
    </xf>
    <xf numFmtId="0" fontId="0" fillId="33" borderId="22" xfId="0" applyFill="1" applyBorder="1" applyAlignment="1" applyProtection="1">
      <alignment/>
      <protection locked="0"/>
    </xf>
    <xf numFmtId="0" fontId="0" fillId="33" borderId="0" xfId="0" applyNumberFormat="1" applyFont="1" applyFill="1" applyBorder="1" applyAlignment="1" applyProtection="1">
      <alignment horizontal="right"/>
      <protection/>
    </xf>
    <xf numFmtId="0" fontId="7" fillId="33" borderId="10" xfId="0" applyNumberFormat="1" applyFont="1" applyFill="1" applyBorder="1" applyAlignment="1" applyProtection="1">
      <alignment horizontal="center"/>
      <protection/>
    </xf>
    <xf numFmtId="0" fontId="0" fillId="33" borderId="19" xfId="0" applyNumberFormat="1" applyFont="1" applyFill="1" applyBorder="1" applyAlignment="1" applyProtection="1">
      <alignment/>
      <protection locked="0"/>
    </xf>
    <xf numFmtId="0" fontId="0" fillId="33" borderId="19" xfId="0" applyNumberFormat="1" applyFont="1" applyFill="1" applyBorder="1" applyAlignment="1" applyProtection="1">
      <alignment/>
      <protection/>
    </xf>
    <xf numFmtId="0" fontId="0" fillId="33" borderId="17" xfId="0" applyNumberFormat="1" applyFont="1" applyFill="1" applyBorder="1" applyAlignment="1" applyProtection="1">
      <alignment/>
      <protection locked="0"/>
    </xf>
    <xf numFmtId="0" fontId="0" fillId="33" borderId="19" xfId="0" applyNumberFormat="1" applyFont="1" applyFill="1" applyBorder="1" applyAlignment="1" applyProtection="1">
      <alignment horizontal="left"/>
      <protection/>
    </xf>
    <xf numFmtId="0" fontId="37" fillId="33" borderId="22" xfId="0" applyNumberFormat="1" applyFont="1" applyFill="1" applyBorder="1" applyAlignment="1" applyProtection="1">
      <alignment/>
      <protection/>
    </xf>
    <xf numFmtId="200" fontId="0" fillId="33" borderId="0" xfId="0" applyNumberFormat="1" applyFont="1" applyFill="1" applyBorder="1" applyAlignment="1" applyProtection="1">
      <alignment horizontal="right"/>
      <protection/>
    </xf>
    <xf numFmtId="175" fontId="28" fillId="33" borderId="0" xfId="0" applyNumberFormat="1" applyFont="1" applyFill="1" applyBorder="1" applyAlignment="1" applyProtection="1">
      <alignment horizontal="center"/>
      <protection locked="0"/>
    </xf>
    <xf numFmtId="0" fontId="2" fillId="33" borderId="14" xfId="0" applyNumberFormat="1" applyFont="1" applyFill="1" applyBorder="1" applyAlignment="1" applyProtection="1">
      <alignment/>
      <protection/>
    </xf>
    <xf numFmtId="0" fontId="41" fillId="33" borderId="10" xfId="0" applyNumberFormat="1" applyFont="1" applyFill="1" applyBorder="1" applyAlignment="1" applyProtection="1">
      <alignment/>
      <protection/>
    </xf>
    <xf numFmtId="0" fontId="41" fillId="33" borderId="10" xfId="0" applyNumberFormat="1" applyFont="1" applyFill="1" applyBorder="1" applyAlignment="1" applyProtection="1">
      <alignment/>
      <protection/>
    </xf>
    <xf numFmtId="0" fontId="41" fillId="33" borderId="10" xfId="0" applyNumberFormat="1" applyFont="1" applyFill="1" applyBorder="1" applyAlignment="1" applyProtection="1">
      <alignment horizontal="right"/>
      <protection/>
    </xf>
    <xf numFmtId="0" fontId="41" fillId="33" borderId="0" xfId="0" applyNumberFormat="1" applyFont="1" applyFill="1" applyAlignment="1" applyProtection="1">
      <alignment/>
      <protection/>
    </xf>
    <xf numFmtId="0" fontId="41" fillId="33" borderId="16" xfId="0" applyNumberFormat="1" applyFont="1" applyFill="1" applyBorder="1" applyAlignment="1" applyProtection="1">
      <alignment/>
      <protection/>
    </xf>
    <xf numFmtId="0" fontId="41" fillId="33" borderId="50" xfId="0" applyNumberFormat="1" applyFont="1" applyFill="1" applyBorder="1" applyAlignment="1" applyProtection="1">
      <alignment/>
      <protection/>
    </xf>
    <xf numFmtId="0" fontId="41" fillId="33" borderId="50" xfId="0" applyNumberFormat="1" applyFont="1" applyFill="1" applyBorder="1" applyAlignment="1" applyProtection="1">
      <alignment horizontal="right"/>
      <protection/>
    </xf>
    <xf numFmtId="0" fontId="2" fillId="33" borderId="10" xfId="0" applyNumberFormat="1" applyFont="1" applyFill="1" applyBorder="1" applyAlignment="1" applyProtection="1">
      <alignment/>
      <protection/>
    </xf>
    <xf numFmtId="0" fontId="2" fillId="33" borderId="10" xfId="0" applyNumberFormat="1" applyFont="1" applyFill="1" applyBorder="1" applyAlignment="1" applyProtection="1">
      <alignment/>
      <protection/>
    </xf>
    <xf numFmtId="0" fontId="2" fillId="33" borderId="10" xfId="0" applyNumberFormat="1" applyFont="1" applyFill="1" applyBorder="1" applyAlignment="1" applyProtection="1">
      <alignment horizontal="right"/>
      <protection/>
    </xf>
    <xf numFmtId="0" fontId="29" fillId="33" borderId="0" xfId="0" applyNumberFormat="1" applyFont="1" applyFill="1" applyAlignment="1" applyProtection="1">
      <alignment/>
      <protection/>
    </xf>
    <xf numFmtId="0" fontId="2" fillId="33" borderId="10" xfId="0" applyNumberFormat="1" applyFont="1" applyFill="1" applyBorder="1" applyAlignment="1" applyProtection="1">
      <alignment wrapText="1"/>
      <protection/>
    </xf>
    <xf numFmtId="49" fontId="2" fillId="33" borderId="10" xfId="0" applyNumberFormat="1" applyFont="1" applyFill="1" applyBorder="1" applyAlignment="1" applyProtection="1">
      <alignment horizontal="right"/>
      <protection/>
    </xf>
    <xf numFmtId="0" fontId="2" fillId="33" borderId="12" xfId="0" applyNumberFormat="1" applyFont="1" applyFill="1" applyBorder="1" applyAlignment="1" applyProtection="1">
      <alignment/>
      <protection/>
    </xf>
    <xf numFmtId="0" fontId="2" fillId="33" borderId="11" xfId="0" applyNumberFormat="1" applyFont="1" applyFill="1" applyBorder="1" applyAlignment="1" applyProtection="1">
      <alignment/>
      <protection/>
    </xf>
    <xf numFmtId="0" fontId="2" fillId="33" borderId="12" xfId="0" applyNumberFormat="1" applyFont="1" applyFill="1" applyBorder="1" applyAlignment="1" applyProtection="1">
      <alignment/>
      <protection/>
    </xf>
    <xf numFmtId="0" fontId="2" fillId="33" borderId="16" xfId="0" applyNumberFormat="1" applyFont="1" applyFill="1" applyBorder="1" applyAlignment="1" applyProtection="1">
      <alignment/>
      <protection/>
    </xf>
    <xf numFmtId="0" fontId="2" fillId="33" borderId="17" xfId="0" applyNumberFormat="1" applyFont="1" applyFill="1" applyBorder="1" applyAlignment="1" applyProtection="1">
      <alignment/>
      <protection/>
    </xf>
    <xf numFmtId="0" fontId="13" fillId="33" borderId="0" xfId="0" applyNumberFormat="1" applyFont="1" applyFill="1" applyBorder="1" applyAlignment="1" applyProtection="1">
      <alignment horizontal="left"/>
      <protection/>
    </xf>
    <xf numFmtId="0" fontId="2" fillId="33" borderId="10"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protection/>
    </xf>
    <xf numFmtId="0" fontId="2" fillId="33" borderId="13" xfId="0" applyNumberFormat="1" applyFont="1" applyFill="1" applyBorder="1" applyAlignment="1" applyProtection="1">
      <alignment/>
      <protection/>
    </xf>
    <xf numFmtId="0" fontId="2" fillId="33" borderId="19" xfId="0" applyNumberFormat="1" applyFont="1" applyFill="1" applyBorder="1" applyAlignment="1" applyProtection="1">
      <alignment horizontal="right"/>
      <protection/>
    </xf>
    <xf numFmtId="0" fontId="2" fillId="33" borderId="10" xfId="0" applyNumberFormat="1" applyFont="1" applyFill="1" applyBorder="1" applyAlignment="1" applyProtection="1">
      <alignment horizontal="center"/>
      <protection/>
    </xf>
    <xf numFmtId="0" fontId="36" fillId="36" borderId="0" xfId="0" applyNumberFormat="1" applyFont="1" applyFill="1" applyAlignment="1" applyProtection="1">
      <alignment/>
      <protection/>
    </xf>
    <xf numFmtId="0" fontId="0" fillId="36" borderId="0" xfId="0" applyFill="1" applyAlignment="1">
      <alignment/>
    </xf>
    <xf numFmtId="0" fontId="45" fillId="33" borderId="0" xfId="0" applyNumberFormat="1" applyFont="1" applyFill="1" applyAlignment="1" applyProtection="1">
      <alignment vertical="center"/>
      <protection/>
    </xf>
    <xf numFmtId="0" fontId="32" fillId="33" borderId="27" xfId="0" applyNumberFormat="1" applyFont="1" applyFill="1" applyBorder="1" applyAlignment="1" applyProtection="1">
      <alignment/>
      <protection/>
    </xf>
    <xf numFmtId="0" fontId="32" fillId="33" borderId="28" xfId="0" applyNumberFormat="1" applyFont="1" applyFill="1" applyBorder="1" applyAlignment="1" applyProtection="1">
      <alignment/>
      <protection/>
    </xf>
    <xf numFmtId="0" fontId="46" fillId="33" borderId="28" xfId="0" applyNumberFormat="1" applyFont="1" applyFill="1" applyBorder="1" applyAlignment="1" applyProtection="1">
      <alignment/>
      <protection/>
    </xf>
    <xf numFmtId="0" fontId="32" fillId="33" borderId="29" xfId="0" applyNumberFormat="1" applyFont="1" applyFill="1" applyBorder="1" applyAlignment="1" applyProtection="1">
      <alignment/>
      <protection/>
    </xf>
    <xf numFmtId="0" fontId="32" fillId="33" borderId="30" xfId="0" applyNumberFormat="1" applyFont="1" applyFill="1" applyBorder="1" applyAlignment="1" applyProtection="1">
      <alignment/>
      <protection/>
    </xf>
    <xf numFmtId="0" fontId="32" fillId="33" borderId="0" xfId="0" applyNumberFormat="1" applyFont="1" applyFill="1" applyBorder="1" applyAlignment="1" applyProtection="1">
      <alignment horizontal="right"/>
      <protection/>
    </xf>
    <xf numFmtId="0" fontId="32" fillId="33" borderId="0" xfId="0" applyNumberFormat="1" applyFont="1" applyFill="1" applyBorder="1" applyAlignment="1" applyProtection="1">
      <alignment/>
      <protection/>
    </xf>
    <xf numFmtId="0" fontId="32" fillId="33" borderId="31" xfId="0" applyNumberFormat="1" applyFont="1" applyFill="1" applyBorder="1" applyAlignment="1" applyProtection="1">
      <alignment/>
      <protection/>
    </xf>
    <xf numFmtId="0" fontId="47" fillId="33" borderId="30" xfId="0" applyNumberFormat="1" applyFont="1" applyFill="1" applyBorder="1" applyAlignment="1" applyProtection="1">
      <alignment/>
      <protection/>
    </xf>
    <xf numFmtId="175" fontId="32" fillId="33" borderId="0" xfId="0" applyNumberFormat="1" applyFont="1" applyFill="1" applyBorder="1" applyAlignment="1" applyProtection="1">
      <alignment/>
      <protection/>
    </xf>
    <xf numFmtId="0" fontId="32" fillId="33" borderId="35" xfId="0" applyNumberFormat="1" applyFont="1" applyFill="1" applyBorder="1" applyAlignment="1" applyProtection="1">
      <alignment/>
      <protection/>
    </xf>
    <xf numFmtId="0" fontId="32" fillId="33" borderId="36" xfId="0" applyNumberFormat="1" applyFont="1" applyFill="1" applyBorder="1" applyAlignment="1" applyProtection="1">
      <alignment/>
      <protection/>
    </xf>
    <xf numFmtId="206" fontId="32" fillId="33" borderId="36" xfId="0" applyNumberFormat="1" applyFont="1" applyFill="1" applyBorder="1" applyAlignment="1" applyProtection="1">
      <alignment/>
      <protection/>
    </xf>
    <xf numFmtId="0" fontId="32" fillId="33" borderId="37" xfId="0" applyNumberFormat="1" applyFont="1" applyFill="1" applyBorder="1" applyAlignment="1" applyProtection="1">
      <alignment/>
      <protection/>
    </xf>
    <xf numFmtId="175" fontId="32" fillId="33" borderId="31" xfId="0" applyNumberFormat="1" applyFont="1" applyFill="1" applyBorder="1" applyAlignment="1" applyProtection="1">
      <alignment/>
      <protection/>
    </xf>
    <xf numFmtId="0" fontId="32" fillId="33" borderId="0" xfId="0" applyNumberFormat="1" applyFont="1" applyFill="1" applyAlignment="1" applyProtection="1">
      <alignment/>
      <protection/>
    </xf>
    <xf numFmtId="0" fontId="0" fillId="33" borderId="0" xfId="0" applyNumberFormat="1" applyFill="1" applyAlignment="1" applyProtection="1">
      <alignment horizontal="center"/>
      <protection/>
    </xf>
    <xf numFmtId="205" fontId="44" fillId="33" borderId="0" xfId="0" applyNumberFormat="1" applyFont="1" applyFill="1" applyBorder="1" applyAlignment="1" applyProtection="1">
      <alignment/>
      <protection/>
    </xf>
    <xf numFmtId="0" fontId="48" fillId="33" borderId="14" xfId="0" applyNumberFormat="1" applyFont="1" applyFill="1" applyBorder="1" applyAlignment="1" applyProtection="1">
      <alignment horizontal="left"/>
      <protection/>
    </xf>
    <xf numFmtId="205" fontId="44" fillId="33" borderId="15" xfId="0" applyNumberFormat="1" applyFont="1" applyFill="1" applyBorder="1" applyAlignment="1" applyProtection="1">
      <alignment/>
      <protection/>
    </xf>
    <xf numFmtId="207" fontId="32" fillId="33" borderId="0" xfId="0" applyNumberFormat="1" applyFont="1" applyFill="1" applyAlignment="1" applyProtection="1">
      <alignment/>
      <protection/>
    </xf>
    <xf numFmtId="11" fontId="35" fillId="33" borderId="21" xfId="0" applyNumberFormat="1" applyFont="1" applyFill="1" applyBorder="1" applyAlignment="1" applyProtection="1">
      <alignment horizontal="center"/>
      <protection/>
    </xf>
    <xf numFmtId="0" fontId="0" fillId="33" borderId="34" xfId="0" applyFont="1" applyFill="1" applyBorder="1" applyAlignment="1" applyProtection="1">
      <alignment/>
      <protection/>
    </xf>
    <xf numFmtId="0" fontId="0" fillId="33" borderId="51" xfId="0" applyFont="1" applyFill="1" applyBorder="1" applyAlignment="1" applyProtection="1">
      <alignment/>
      <protection/>
    </xf>
    <xf numFmtId="0" fontId="0" fillId="33" borderId="10" xfId="0" applyFont="1" applyFill="1" applyBorder="1" applyAlignment="1" applyProtection="1">
      <alignment horizontal="right"/>
      <protection/>
    </xf>
    <xf numFmtId="0" fontId="0" fillId="33" borderId="10" xfId="0" applyNumberFormat="1" applyFill="1" applyBorder="1" applyAlignment="1" applyProtection="1">
      <alignment horizontal="right"/>
      <protection/>
    </xf>
    <xf numFmtId="0" fontId="0" fillId="33" borderId="33" xfId="0" applyFont="1" applyFill="1" applyBorder="1" applyAlignment="1" applyProtection="1">
      <alignment/>
      <protection/>
    </xf>
    <xf numFmtId="0" fontId="0" fillId="33" borderId="25" xfId="0" applyFont="1" applyFill="1" applyBorder="1" applyAlignment="1" applyProtection="1">
      <alignment/>
      <protection/>
    </xf>
    <xf numFmtId="0" fontId="0" fillId="33" borderId="22" xfId="0" applyFont="1" applyFill="1" applyBorder="1" applyAlignment="1" applyProtection="1">
      <alignment/>
      <protection/>
    </xf>
    <xf numFmtId="0" fontId="0" fillId="33" borderId="21" xfId="0" applyFont="1" applyFill="1" applyBorder="1" applyAlignment="1" applyProtection="1">
      <alignment/>
      <protection/>
    </xf>
    <xf numFmtId="0" fontId="0" fillId="33" borderId="16" xfId="0" applyFont="1" applyFill="1" applyBorder="1" applyAlignment="1" applyProtection="1">
      <alignment/>
      <protection/>
    </xf>
    <xf numFmtId="0" fontId="0" fillId="33" borderId="17" xfId="0" applyFont="1" applyFill="1" applyBorder="1" applyAlignment="1" applyProtection="1">
      <alignment/>
      <protection/>
    </xf>
    <xf numFmtId="0" fontId="0" fillId="33" borderId="0" xfId="0" applyFont="1" applyFill="1" applyBorder="1" applyAlignment="1" applyProtection="1">
      <alignment/>
      <protection/>
    </xf>
    <xf numFmtId="0" fontId="0" fillId="33" borderId="52" xfId="0" applyFont="1" applyFill="1" applyBorder="1" applyAlignment="1" applyProtection="1">
      <alignment horizontal="right"/>
      <protection/>
    </xf>
    <xf numFmtId="0" fontId="0" fillId="33" borderId="51" xfId="0" applyFont="1" applyFill="1" applyBorder="1" applyAlignment="1" applyProtection="1">
      <alignment horizontal="right"/>
      <protection/>
    </xf>
    <xf numFmtId="0" fontId="0" fillId="33" borderId="52" xfId="0" applyNumberFormat="1" applyFill="1" applyBorder="1" applyAlignment="1" applyProtection="1">
      <alignment horizontal="right"/>
      <protection/>
    </xf>
    <xf numFmtId="0" fontId="0" fillId="33" borderId="51" xfId="0" applyNumberFormat="1" applyFill="1" applyBorder="1" applyAlignment="1" applyProtection="1">
      <alignment horizontal="right"/>
      <protection/>
    </xf>
    <xf numFmtId="0" fontId="0" fillId="33" borderId="53" xfId="0" applyFill="1" applyBorder="1" applyAlignment="1" applyProtection="1">
      <alignment/>
      <protection/>
    </xf>
    <xf numFmtId="0" fontId="0" fillId="33" borderId="54" xfId="0" applyFill="1" applyBorder="1" applyAlignment="1" applyProtection="1">
      <alignment/>
      <protection/>
    </xf>
    <xf numFmtId="0" fontId="0" fillId="33" borderId="55" xfId="0" applyFill="1" applyBorder="1" applyAlignment="1" applyProtection="1">
      <alignment/>
      <protection/>
    </xf>
    <xf numFmtId="0" fontId="5" fillId="33" borderId="56" xfId="0" applyFont="1" applyFill="1" applyBorder="1" applyAlignment="1" applyProtection="1">
      <alignment/>
      <protection/>
    </xf>
    <xf numFmtId="0" fontId="0" fillId="33" borderId="57" xfId="0" applyFill="1" applyBorder="1" applyAlignment="1" applyProtection="1">
      <alignment/>
      <protection/>
    </xf>
    <xf numFmtId="0" fontId="0" fillId="33" borderId="56" xfId="0" applyFill="1" applyBorder="1" applyAlignment="1" applyProtection="1">
      <alignment horizontal="right"/>
      <protection/>
    </xf>
    <xf numFmtId="0" fontId="0" fillId="33" borderId="10" xfId="0" applyFill="1" applyBorder="1" applyAlignment="1" applyProtection="1">
      <alignment/>
      <protection/>
    </xf>
    <xf numFmtId="0" fontId="0" fillId="33" borderId="22" xfId="0" applyFont="1" applyFill="1" applyBorder="1" applyAlignment="1" applyProtection="1">
      <alignment/>
      <protection/>
    </xf>
    <xf numFmtId="0" fontId="0" fillId="33" borderId="58" xfId="0" applyFont="1" applyFill="1" applyBorder="1" applyAlignment="1" applyProtection="1">
      <alignment/>
      <protection/>
    </xf>
    <xf numFmtId="0" fontId="7" fillId="33" borderId="0" xfId="0" applyFont="1" applyFill="1" applyBorder="1" applyAlignment="1" applyProtection="1">
      <alignment/>
      <protection/>
    </xf>
    <xf numFmtId="0" fontId="0" fillId="33" borderId="19" xfId="0" applyFont="1" applyFill="1" applyBorder="1" applyAlignment="1" applyProtection="1">
      <alignment horizontal="left"/>
      <protection/>
    </xf>
    <xf numFmtId="0" fontId="0" fillId="33" borderId="59" xfId="0" applyFont="1" applyFill="1" applyBorder="1" applyAlignment="1" applyProtection="1">
      <alignment/>
      <protection/>
    </xf>
    <xf numFmtId="168" fontId="0" fillId="33" borderId="60" xfId="0" applyNumberFormat="1" applyFill="1" applyBorder="1" applyAlignment="1" applyProtection="1">
      <alignment/>
      <protection/>
    </xf>
    <xf numFmtId="168" fontId="0" fillId="33" borderId="25" xfId="0" applyNumberFormat="1" applyFill="1" applyBorder="1" applyAlignment="1" applyProtection="1">
      <alignment/>
      <protection/>
    </xf>
    <xf numFmtId="0" fontId="0" fillId="33" borderId="19" xfId="0" applyNumberFormat="1" applyFill="1" applyBorder="1" applyAlignment="1" applyProtection="1">
      <alignment/>
      <protection/>
    </xf>
    <xf numFmtId="0" fontId="0" fillId="33" borderId="33" xfId="0" applyFill="1" applyBorder="1" applyAlignment="1" applyProtection="1">
      <alignment/>
      <protection/>
    </xf>
    <xf numFmtId="0" fontId="0" fillId="33" borderId="60" xfId="0" applyFill="1" applyBorder="1" applyAlignment="1" applyProtection="1">
      <alignment/>
      <protection/>
    </xf>
    <xf numFmtId="0" fontId="0" fillId="33" borderId="56" xfId="0" applyFont="1" applyFill="1" applyBorder="1" applyAlignment="1" applyProtection="1">
      <alignment/>
      <protection/>
    </xf>
    <xf numFmtId="168" fontId="0" fillId="33" borderId="19" xfId="0" applyNumberFormat="1" applyFill="1" applyBorder="1" applyAlignment="1" applyProtection="1">
      <alignment/>
      <protection/>
    </xf>
    <xf numFmtId="168" fontId="0" fillId="33" borderId="21" xfId="0" applyNumberFormat="1" applyFill="1" applyBorder="1" applyAlignment="1" applyProtection="1">
      <alignment/>
      <protection/>
    </xf>
    <xf numFmtId="0" fontId="0" fillId="33" borderId="19" xfId="0" applyFont="1" applyFill="1" applyBorder="1" applyAlignment="1" applyProtection="1">
      <alignment/>
      <protection/>
    </xf>
    <xf numFmtId="0" fontId="0" fillId="33" borderId="19" xfId="0" applyFill="1" applyBorder="1" applyAlignment="1" applyProtection="1">
      <alignment/>
      <protection/>
    </xf>
    <xf numFmtId="0" fontId="0" fillId="33" borderId="61" xfId="0" applyFont="1" applyFill="1" applyBorder="1" applyAlignment="1" applyProtection="1">
      <alignment/>
      <protection/>
    </xf>
    <xf numFmtId="168" fontId="0" fillId="33" borderId="50" xfId="0" applyNumberFormat="1" applyFill="1" applyBorder="1" applyAlignment="1" applyProtection="1">
      <alignment/>
      <protection/>
    </xf>
    <xf numFmtId="168" fontId="0" fillId="33" borderId="17" xfId="0" applyNumberFormat="1" applyFill="1" applyBorder="1" applyAlignment="1" applyProtection="1">
      <alignment/>
      <protection/>
    </xf>
    <xf numFmtId="0" fontId="0" fillId="33" borderId="16" xfId="0" applyFill="1" applyBorder="1" applyAlignment="1" applyProtection="1">
      <alignment/>
      <protection/>
    </xf>
    <xf numFmtId="0" fontId="0" fillId="33" borderId="50" xfId="0" applyFill="1" applyBorder="1" applyAlignment="1" applyProtection="1">
      <alignment/>
      <protection/>
    </xf>
    <xf numFmtId="0" fontId="0" fillId="33" borderId="62" xfId="0" applyFill="1" applyBorder="1" applyAlignment="1" applyProtection="1">
      <alignment/>
      <protection/>
    </xf>
    <xf numFmtId="0" fontId="0" fillId="33" borderId="63" xfId="0" applyFill="1" applyBorder="1" applyAlignment="1" applyProtection="1">
      <alignment/>
      <protection/>
    </xf>
    <xf numFmtId="0" fontId="0" fillId="33" borderId="63" xfId="0" applyNumberFormat="1" applyFill="1" applyBorder="1" applyAlignment="1" applyProtection="1">
      <alignment/>
      <protection/>
    </xf>
    <xf numFmtId="0" fontId="0" fillId="33" borderId="64" xfId="0" applyFill="1" applyBorder="1" applyAlignment="1" applyProtection="1">
      <alignment/>
      <protection/>
    </xf>
    <xf numFmtId="0" fontId="2" fillId="33" borderId="34" xfId="0" applyFont="1" applyFill="1" applyBorder="1" applyAlignment="1" applyProtection="1">
      <alignment/>
      <protection/>
    </xf>
    <xf numFmtId="0" fontId="2" fillId="33" borderId="51" xfId="0" applyFont="1" applyFill="1" applyBorder="1" applyAlignment="1" applyProtection="1">
      <alignment/>
      <protection/>
    </xf>
    <xf numFmtId="0" fontId="2" fillId="33" borderId="10" xfId="0" applyFont="1" applyFill="1" applyBorder="1" applyAlignment="1" applyProtection="1">
      <alignment horizontal="right"/>
      <protection/>
    </xf>
    <xf numFmtId="0" fontId="2" fillId="33" borderId="52" xfId="0" applyFont="1" applyFill="1" applyBorder="1" applyAlignment="1" applyProtection="1">
      <alignment horizontal="right"/>
      <protection/>
    </xf>
    <xf numFmtId="0" fontId="2" fillId="33" borderId="51" xfId="0" applyFont="1" applyFill="1" applyBorder="1" applyAlignment="1" applyProtection="1">
      <alignment horizontal="right"/>
      <protection/>
    </xf>
    <xf numFmtId="0" fontId="0" fillId="33" borderId="10" xfId="0" applyNumberFormat="1" applyFill="1" applyBorder="1" applyAlignment="1" applyProtection="1">
      <alignment/>
      <protection/>
    </xf>
    <xf numFmtId="0" fontId="4" fillId="33" borderId="0" xfId="0" applyFont="1" applyFill="1" applyBorder="1" applyAlignment="1" applyProtection="1">
      <alignment/>
      <protection/>
    </xf>
    <xf numFmtId="0" fontId="24" fillId="33" borderId="0" xfId="0" applyNumberFormat="1" applyFont="1" applyFill="1" applyAlignment="1" applyProtection="1">
      <alignment/>
      <protection/>
    </xf>
    <xf numFmtId="0" fontId="31" fillId="33" borderId="0" xfId="0" applyNumberFormat="1" applyFont="1" applyFill="1" applyAlignment="1" applyProtection="1">
      <alignment/>
      <protection/>
    </xf>
    <xf numFmtId="2" fontId="0" fillId="33" borderId="25" xfId="0" applyNumberFormat="1" applyFill="1" applyBorder="1" applyAlignment="1" applyProtection="1">
      <alignment horizontal="right"/>
      <protection/>
    </xf>
    <xf numFmtId="2" fontId="0" fillId="33" borderId="65" xfId="0" applyNumberFormat="1" applyFill="1" applyBorder="1" applyAlignment="1" applyProtection="1">
      <alignment horizontal="right"/>
      <protection/>
    </xf>
    <xf numFmtId="2" fontId="0" fillId="33" borderId="21" xfId="0" applyNumberFormat="1" applyFill="1" applyBorder="1" applyAlignment="1" applyProtection="1">
      <alignment horizontal="right"/>
      <protection/>
    </xf>
    <xf numFmtId="2" fontId="0" fillId="33" borderId="66" xfId="0" applyNumberFormat="1" applyFill="1" applyBorder="1" applyAlignment="1" applyProtection="1">
      <alignment horizontal="right"/>
      <protection/>
    </xf>
    <xf numFmtId="2" fontId="0" fillId="33" borderId="17" xfId="0" applyNumberFormat="1" applyFill="1" applyBorder="1" applyAlignment="1" applyProtection="1">
      <alignment horizontal="right"/>
      <protection/>
    </xf>
    <xf numFmtId="2" fontId="0" fillId="33" borderId="67" xfId="0" applyNumberFormat="1" applyFill="1" applyBorder="1" applyAlignment="1" applyProtection="1">
      <alignment horizontal="right"/>
      <protection/>
    </xf>
    <xf numFmtId="0" fontId="0" fillId="33" borderId="23" xfId="0" applyNumberFormat="1" applyFont="1" applyFill="1" applyBorder="1" applyAlignment="1" applyProtection="1">
      <alignment horizontal="left"/>
      <protection locked="0"/>
    </xf>
    <xf numFmtId="49" fontId="53" fillId="33" borderId="10" xfId="0" applyNumberFormat="1" applyFont="1" applyFill="1" applyBorder="1" applyAlignment="1" applyProtection="1">
      <alignment horizontal="right"/>
      <protection/>
    </xf>
    <xf numFmtId="0" fontId="2" fillId="33" borderId="18" xfId="0" applyNumberFormat="1" applyFont="1" applyFill="1" applyBorder="1" applyAlignment="1" applyProtection="1">
      <alignment/>
      <protection/>
    </xf>
    <xf numFmtId="0" fontId="35" fillId="33" borderId="19" xfId="0" applyNumberFormat="1" applyFont="1" applyFill="1" applyBorder="1" applyAlignment="1" applyProtection="1">
      <alignment horizontal="center"/>
      <protection/>
    </xf>
    <xf numFmtId="0" fontId="35" fillId="33" borderId="19" xfId="0" applyNumberFormat="1" applyFont="1" applyFill="1" applyBorder="1" applyAlignment="1" applyProtection="1">
      <alignment horizontal="right"/>
      <protection/>
    </xf>
    <xf numFmtId="0" fontId="29" fillId="33" borderId="68" xfId="0" applyNumberFormat="1" applyFont="1" applyFill="1" applyBorder="1" applyAlignment="1" applyProtection="1">
      <alignment/>
      <protection/>
    </xf>
    <xf numFmtId="0" fontId="0" fillId="33" borderId="68" xfId="0" applyNumberFormat="1" applyFill="1" applyBorder="1" applyAlignment="1" applyProtection="1">
      <alignment/>
      <protection/>
    </xf>
    <xf numFmtId="0" fontId="0" fillId="33" borderId="68" xfId="0" applyFill="1" applyBorder="1" applyAlignment="1" applyProtection="1">
      <alignment/>
      <protection/>
    </xf>
    <xf numFmtId="0" fontId="35" fillId="33" borderId="0" xfId="0" applyNumberFormat="1" applyFont="1" applyFill="1" applyAlignment="1" applyProtection="1">
      <alignment/>
      <protection/>
    </xf>
    <xf numFmtId="186" fontId="0" fillId="33" borderId="14" xfId="0" applyNumberFormat="1" applyFont="1" applyFill="1" applyBorder="1" applyAlignment="1" applyProtection="1">
      <alignment horizontal="right"/>
      <protection locked="0"/>
    </xf>
    <xf numFmtId="0" fontId="34" fillId="33" borderId="0" xfId="0" applyNumberFormat="1" applyFont="1" applyFill="1" applyBorder="1" applyAlignment="1" applyProtection="1">
      <alignment/>
      <protection/>
    </xf>
    <xf numFmtId="0" fontId="35" fillId="33" borderId="60" xfId="0" applyNumberFormat="1" applyFont="1" applyFill="1" applyBorder="1" applyAlignment="1" applyProtection="1">
      <alignment horizontal="right"/>
      <protection/>
    </xf>
    <xf numFmtId="174" fontId="0" fillId="33" borderId="10" xfId="0" applyNumberFormat="1" applyFill="1" applyBorder="1" applyAlignment="1" applyProtection="1">
      <alignment/>
      <protection/>
    </xf>
    <xf numFmtId="0" fontId="57" fillId="33" borderId="30" xfId="0" applyNumberFormat="1" applyFont="1" applyFill="1" applyBorder="1" applyAlignment="1" applyProtection="1">
      <alignment/>
      <protection/>
    </xf>
    <xf numFmtId="49" fontId="0" fillId="33" borderId="11" xfId="0" applyNumberFormat="1" applyFill="1" applyBorder="1" applyAlignment="1" applyProtection="1">
      <alignment horizontal="right"/>
      <protection locked="0"/>
    </xf>
    <xf numFmtId="49" fontId="0" fillId="33" borderId="12" xfId="0" applyNumberFormat="1" applyFill="1" applyBorder="1" applyAlignment="1" applyProtection="1">
      <alignment horizontal="right"/>
      <protection locked="0"/>
    </xf>
    <xf numFmtId="49" fontId="0" fillId="33" borderId="13" xfId="0" applyNumberFormat="1" applyFill="1" applyBorder="1" applyAlignment="1" applyProtection="1">
      <alignment horizontal="right"/>
      <protection locked="0"/>
    </xf>
    <xf numFmtId="49" fontId="0" fillId="33" borderId="13" xfId="0" applyNumberFormat="1" applyFont="1" applyFill="1" applyBorder="1" applyAlignment="1" applyProtection="1">
      <alignment horizontal="right"/>
      <protection locked="0"/>
    </xf>
    <xf numFmtId="49" fontId="0" fillId="33" borderId="12" xfId="0" applyNumberFormat="1" applyFont="1" applyFill="1" applyBorder="1" applyAlignment="1" applyProtection="1">
      <alignment horizontal="right"/>
      <protection locked="0"/>
    </xf>
    <xf numFmtId="0" fontId="46" fillId="33" borderId="0" xfId="0" applyNumberFormat="1" applyFont="1" applyFill="1" applyAlignment="1" applyProtection="1">
      <alignment/>
      <protection/>
    </xf>
    <xf numFmtId="0" fontId="32" fillId="33" borderId="0" xfId="0" applyNumberFormat="1" applyFont="1" applyFill="1" applyAlignment="1" applyProtection="1">
      <alignment/>
      <protection/>
    </xf>
    <xf numFmtId="0" fontId="32" fillId="33" borderId="69" xfId="0" applyNumberFormat="1" applyFont="1" applyFill="1" applyBorder="1" applyAlignment="1" applyProtection="1">
      <alignment/>
      <protection/>
    </xf>
    <xf numFmtId="0" fontId="32" fillId="33" borderId="70" xfId="0" applyNumberFormat="1" applyFont="1" applyFill="1" applyBorder="1" applyAlignment="1" applyProtection="1">
      <alignment/>
      <protection/>
    </xf>
    <xf numFmtId="0" fontId="32" fillId="33" borderId="71" xfId="0" applyNumberFormat="1" applyFont="1" applyFill="1" applyBorder="1" applyAlignment="1" applyProtection="1">
      <alignment/>
      <protection/>
    </xf>
    <xf numFmtId="49" fontId="0" fillId="33" borderId="10" xfId="0" applyNumberFormat="1" applyFont="1" applyFill="1" applyBorder="1" applyAlignment="1" applyProtection="1">
      <alignment horizontal="right"/>
      <protection locked="0"/>
    </xf>
    <xf numFmtId="49" fontId="0" fillId="33" borderId="11" xfId="0" applyNumberFormat="1" applyFont="1" applyFill="1" applyBorder="1" applyAlignment="1" applyProtection="1">
      <alignment horizontal="right"/>
      <protection locked="0"/>
    </xf>
    <xf numFmtId="0" fontId="32" fillId="33" borderId="72" xfId="0" applyNumberFormat="1" applyFont="1" applyFill="1" applyBorder="1" applyAlignment="1" applyProtection="1">
      <alignment/>
      <protection/>
    </xf>
    <xf numFmtId="0" fontId="58" fillId="33" borderId="0" xfId="54" applyFont="1" applyFill="1">
      <alignment/>
      <protection/>
    </xf>
    <xf numFmtId="0" fontId="106" fillId="33" borderId="0" xfId="54" applyFill="1">
      <alignment/>
      <protection/>
    </xf>
    <xf numFmtId="0" fontId="1" fillId="33" borderId="0" xfId="54" applyFont="1" applyFill="1">
      <alignment/>
      <protection/>
    </xf>
    <xf numFmtId="0" fontId="106" fillId="33" borderId="0" xfId="54" applyFill="1" applyAlignment="1">
      <alignment vertical="center"/>
      <protection/>
    </xf>
    <xf numFmtId="0" fontId="106" fillId="33" borderId="0" xfId="54" applyFill="1" applyAlignment="1">
      <alignment/>
      <protection/>
    </xf>
    <xf numFmtId="0" fontId="0" fillId="33" borderId="0" xfId="0" applyFont="1" applyFill="1" applyAlignment="1" applyProtection="1">
      <alignment/>
      <protection/>
    </xf>
    <xf numFmtId="0" fontId="0" fillId="33" borderId="0" xfId="0" applyFill="1" applyAlignment="1" applyProtection="1">
      <alignment horizontal="center"/>
      <protection/>
    </xf>
    <xf numFmtId="0" fontId="0" fillId="33" borderId="73" xfId="0" applyFill="1" applyBorder="1" applyAlignment="1" applyProtection="1">
      <alignment/>
      <protection/>
    </xf>
    <xf numFmtId="0" fontId="0" fillId="33" borderId="73" xfId="0" applyNumberFormat="1" applyFill="1" applyBorder="1" applyAlignment="1" applyProtection="1">
      <alignment/>
      <protection/>
    </xf>
    <xf numFmtId="168" fontId="0" fillId="33" borderId="0" xfId="0" applyNumberFormat="1" applyFill="1" applyBorder="1" applyAlignment="1" applyProtection="1">
      <alignment/>
      <protection/>
    </xf>
    <xf numFmtId="0" fontId="48" fillId="33" borderId="0" xfId="0" applyNumberFormat="1" applyFont="1" applyFill="1" applyBorder="1" applyAlignment="1" applyProtection="1">
      <alignment horizontal="left" vertical="center"/>
      <protection/>
    </xf>
    <xf numFmtId="0" fontId="0" fillId="33" borderId="0" xfId="0" applyFont="1" applyFill="1" applyAlignment="1" applyProtection="1">
      <alignment horizontal="right"/>
      <protection/>
    </xf>
    <xf numFmtId="0" fontId="0" fillId="33" borderId="74" xfId="0" applyNumberFormat="1" applyFill="1" applyBorder="1" applyAlignment="1" applyProtection="1">
      <alignment horizontal="right"/>
      <protection/>
    </xf>
    <xf numFmtId="166" fontId="69" fillId="33" borderId="74" xfId="0" applyNumberFormat="1" applyFont="1" applyFill="1" applyBorder="1" applyAlignment="1" applyProtection="1">
      <alignment/>
      <protection/>
    </xf>
    <xf numFmtId="166" fontId="69" fillId="33" borderId="10" xfId="0" applyNumberFormat="1" applyFont="1" applyFill="1" applyBorder="1" applyAlignment="1" applyProtection="1">
      <alignment/>
      <protection/>
    </xf>
    <xf numFmtId="0" fontId="0" fillId="33" borderId="0" xfId="0" applyFill="1" applyAlignment="1" applyProtection="1">
      <alignment/>
      <protection hidden="1"/>
    </xf>
    <xf numFmtId="0" fontId="0" fillId="33" borderId="0" xfId="0" applyFill="1" applyAlignment="1">
      <alignment/>
    </xf>
    <xf numFmtId="0" fontId="72" fillId="33" borderId="0" xfId="0" applyFont="1" applyFill="1" applyAlignment="1" applyProtection="1">
      <alignment/>
      <protection hidden="1"/>
    </xf>
    <xf numFmtId="0" fontId="73" fillId="33" borderId="0" xfId="48" applyFont="1" applyFill="1" applyAlignment="1" applyProtection="1">
      <alignment/>
      <protection hidden="1"/>
    </xf>
    <xf numFmtId="0" fontId="0" fillId="33" borderId="0" xfId="0" applyFill="1" applyAlignment="1" applyProtection="1">
      <alignment horizontal="right"/>
      <protection hidden="1"/>
    </xf>
    <xf numFmtId="0" fontId="0" fillId="33" borderId="0" xfId="0" applyFill="1" applyAlignment="1" applyProtection="1">
      <alignment/>
      <protection hidden="1"/>
    </xf>
    <xf numFmtId="0" fontId="75" fillId="33" borderId="33" xfId="0" applyFont="1" applyFill="1" applyBorder="1" applyAlignment="1" applyProtection="1">
      <alignment/>
      <protection/>
    </xf>
    <xf numFmtId="0" fontId="75" fillId="33" borderId="20" xfId="0" applyFont="1" applyFill="1" applyBorder="1" applyAlignment="1" applyProtection="1">
      <alignment/>
      <protection/>
    </xf>
    <xf numFmtId="0" fontId="75" fillId="33" borderId="25" xfId="0" applyFont="1" applyFill="1" applyBorder="1" applyAlignment="1" applyProtection="1">
      <alignment horizontal="left"/>
      <protection/>
    </xf>
    <xf numFmtId="0" fontId="75" fillId="33" borderId="0" xfId="0" applyFont="1" applyFill="1" applyAlignment="1" applyProtection="1">
      <alignment/>
      <protection/>
    </xf>
    <xf numFmtId="0" fontId="75" fillId="33" borderId="22" xfId="0" applyFont="1" applyFill="1" applyBorder="1" applyAlignment="1" applyProtection="1">
      <alignment/>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0" fillId="33" borderId="21" xfId="0" applyFont="1" applyFill="1" applyBorder="1" applyAlignment="1" applyProtection="1">
      <alignment horizontal="left"/>
      <protection/>
    </xf>
    <xf numFmtId="0" fontId="11" fillId="33" borderId="16" xfId="0" applyFont="1" applyFill="1" applyBorder="1" applyAlignment="1" applyProtection="1">
      <alignment horizontal="centerContinuous"/>
      <protection/>
    </xf>
    <xf numFmtId="0" fontId="75" fillId="33" borderId="17" xfId="0" applyFont="1" applyFill="1" applyBorder="1" applyAlignment="1" applyProtection="1">
      <alignment horizontal="centerContinuous"/>
      <protection/>
    </xf>
    <xf numFmtId="0" fontId="0" fillId="33" borderId="14" xfId="0" applyFont="1" applyFill="1" applyBorder="1" applyAlignment="1" applyProtection="1">
      <alignment horizontal="right"/>
      <protection/>
    </xf>
    <xf numFmtId="0" fontId="75" fillId="33" borderId="0" xfId="0" applyFont="1" applyFill="1" applyBorder="1" applyAlignment="1" applyProtection="1">
      <alignment/>
      <protection/>
    </xf>
    <xf numFmtId="0" fontId="75" fillId="33" borderId="0" xfId="0" applyFont="1" applyFill="1" applyBorder="1" applyAlignment="1" applyProtection="1">
      <alignment/>
      <protection/>
    </xf>
    <xf numFmtId="0" fontId="75" fillId="33" borderId="22" xfId="0" applyFont="1" applyFill="1" applyBorder="1" applyAlignment="1" applyProtection="1">
      <alignment/>
      <protection/>
    </xf>
    <xf numFmtId="0" fontId="77" fillId="33" borderId="0" xfId="0" applyFont="1" applyFill="1" applyBorder="1" applyAlignment="1" applyProtection="1">
      <alignment/>
      <protection/>
    </xf>
    <xf numFmtId="0" fontId="75" fillId="33" borderId="36" xfId="0" applyFont="1" applyFill="1" applyBorder="1" applyAlignment="1" applyProtection="1">
      <alignment horizontal="left"/>
      <protection locked="0"/>
    </xf>
    <xf numFmtId="0" fontId="75" fillId="33" borderId="75" xfId="0" applyFont="1" applyFill="1" applyBorder="1" applyAlignment="1" applyProtection="1">
      <alignment horizontal="left"/>
      <protection locked="0"/>
    </xf>
    <xf numFmtId="14" fontId="75" fillId="33" borderId="75" xfId="0" applyNumberFormat="1" applyFont="1" applyFill="1" applyBorder="1" applyAlignment="1" applyProtection="1">
      <alignment horizontal="left"/>
      <protection locked="0"/>
    </xf>
    <xf numFmtId="0" fontId="75" fillId="33" borderId="16" xfId="0" applyFont="1" applyFill="1" applyBorder="1" applyAlignment="1" applyProtection="1">
      <alignment/>
      <protection/>
    </xf>
    <xf numFmtId="0" fontId="75" fillId="33" borderId="14" xfId="0" applyFont="1" applyFill="1" applyBorder="1" applyAlignment="1" applyProtection="1">
      <alignment/>
      <protection/>
    </xf>
    <xf numFmtId="0" fontId="78" fillId="33" borderId="0" xfId="0" applyFont="1" applyFill="1" applyBorder="1" applyAlignment="1" applyProtection="1">
      <alignment/>
      <protection/>
    </xf>
    <xf numFmtId="0" fontId="75" fillId="33" borderId="0" xfId="0" applyNumberFormat="1" applyFont="1" applyFill="1" applyBorder="1" applyAlignment="1" applyProtection="1">
      <alignment/>
      <protection/>
    </xf>
    <xf numFmtId="0" fontId="75" fillId="33" borderId="57" xfId="0" applyNumberFormat="1" applyFont="1" applyFill="1" applyBorder="1" applyAlignment="1" applyProtection="1">
      <alignment/>
      <protection/>
    </xf>
    <xf numFmtId="0" fontId="78" fillId="33" borderId="0" xfId="0" applyFont="1" applyFill="1" applyAlignment="1" applyProtection="1">
      <alignment/>
      <protection/>
    </xf>
    <xf numFmtId="0" fontId="24" fillId="33" borderId="22" xfId="0" applyFont="1" applyFill="1" applyBorder="1" applyAlignment="1" applyProtection="1">
      <alignment/>
      <protection/>
    </xf>
    <xf numFmtId="0" fontId="75" fillId="33" borderId="0" xfId="0" applyFont="1" applyFill="1" applyAlignment="1" applyProtection="1">
      <alignment vertical="center"/>
      <protection/>
    </xf>
    <xf numFmtId="200" fontId="79" fillId="33" borderId="10" xfId="0" applyNumberFormat="1" applyFont="1" applyFill="1" applyBorder="1" applyAlignment="1" applyProtection="1">
      <alignment horizontal="center" vertical="center"/>
      <protection locked="0"/>
    </xf>
    <xf numFmtId="0" fontId="75" fillId="33" borderId="22" xfId="0" applyFont="1" applyFill="1" applyBorder="1" applyAlignment="1" applyProtection="1">
      <alignment vertical="center"/>
      <protection/>
    </xf>
    <xf numFmtId="0" fontId="75" fillId="33" borderId="21" xfId="0" applyFont="1" applyFill="1" applyBorder="1" applyAlignment="1" applyProtection="1">
      <alignment vertical="center"/>
      <protection/>
    </xf>
    <xf numFmtId="49" fontId="75" fillId="33" borderId="10" xfId="0" applyNumberFormat="1" applyFont="1" applyFill="1" applyBorder="1" applyAlignment="1" applyProtection="1">
      <alignment horizontal="center" vertical="center"/>
      <protection locked="0"/>
    </xf>
    <xf numFmtId="0" fontId="80" fillId="33" borderId="57" xfId="0" applyNumberFormat="1" applyFont="1" applyFill="1" applyBorder="1" applyAlignment="1" applyProtection="1">
      <alignment/>
      <protection/>
    </xf>
    <xf numFmtId="0" fontId="75" fillId="33" borderId="0" xfId="0" applyFont="1" applyFill="1" applyBorder="1" applyAlignment="1" applyProtection="1">
      <alignment vertical="center"/>
      <protection/>
    </xf>
    <xf numFmtId="0" fontId="69" fillId="33" borderId="0" xfId="0" applyFont="1" applyFill="1" applyBorder="1" applyAlignment="1" applyProtection="1">
      <alignment horizontal="left" vertical="center"/>
      <protection/>
    </xf>
    <xf numFmtId="0" fontId="82" fillId="33" borderId="0" xfId="0" applyFont="1" applyFill="1" applyBorder="1" applyAlignment="1" applyProtection="1">
      <alignment horizontal="left" vertical="center"/>
      <protection/>
    </xf>
    <xf numFmtId="0" fontId="78" fillId="33" borderId="22" xfId="0" applyFont="1" applyFill="1" applyBorder="1" applyAlignment="1" applyProtection="1">
      <alignment/>
      <protection/>
    </xf>
    <xf numFmtId="0" fontId="75" fillId="33" borderId="0" xfId="0" applyFont="1" applyFill="1" applyBorder="1" applyAlignment="1" applyProtection="1">
      <alignment horizontal="right"/>
      <protection/>
    </xf>
    <xf numFmtId="0" fontId="75" fillId="33" borderId="10" xfId="0" applyNumberFormat="1" applyFont="1" applyFill="1" applyBorder="1" applyAlignment="1" applyProtection="1">
      <alignment vertical="center"/>
      <protection locked="0"/>
    </xf>
    <xf numFmtId="0" fontId="75" fillId="33" borderId="0" xfId="0" applyFont="1" applyFill="1" applyAlignment="1" applyProtection="1">
      <alignment horizontal="left"/>
      <protection/>
    </xf>
    <xf numFmtId="0" fontId="75" fillId="33" borderId="0" xfId="0" applyNumberFormat="1" applyFont="1" applyFill="1" applyBorder="1" applyAlignment="1" applyProtection="1">
      <alignment horizontal="left"/>
      <protection/>
    </xf>
    <xf numFmtId="0" fontId="75" fillId="33" borderId="0" xfId="0" applyFont="1" applyFill="1" applyBorder="1" applyAlignment="1" applyProtection="1">
      <alignment horizontal="left"/>
      <protection/>
    </xf>
    <xf numFmtId="49" fontId="75" fillId="33" borderId="10" xfId="0" applyNumberFormat="1" applyFont="1" applyFill="1" applyBorder="1" applyAlignment="1" applyProtection="1">
      <alignment horizontal="center"/>
      <protection locked="0"/>
    </xf>
    <xf numFmtId="175" fontId="75" fillId="33" borderId="0" xfId="0" applyNumberFormat="1" applyFont="1" applyFill="1" applyBorder="1" applyAlignment="1" applyProtection="1">
      <alignment horizontal="left" vertical="center"/>
      <protection/>
    </xf>
    <xf numFmtId="168" fontId="75" fillId="33" borderId="14" xfId="0" applyNumberFormat="1" applyFont="1" applyFill="1" applyBorder="1" applyAlignment="1" applyProtection="1">
      <alignment horizontal="right"/>
      <protection/>
    </xf>
    <xf numFmtId="168" fontId="75" fillId="33" borderId="0" xfId="0" applyNumberFormat="1" applyFont="1" applyFill="1" applyBorder="1" applyAlignment="1" applyProtection="1">
      <alignment horizontal="right"/>
      <protection/>
    </xf>
    <xf numFmtId="0" fontId="77" fillId="33" borderId="0" xfId="0" applyFont="1" applyFill="1" applyBorder="1" applyAlignment="1" applyProtection="1">
      <alignment/>
      <protection/>
    </xf>
    <xf numFmtId="0" fontId="76" fillId="33" borderId="0" xfId="0" applyFont="1" applyFill="1" applyBorder="1" applyAlignment="1" applyProtection="1">
      <alignment/>
      <protection/>
    </xf>
    <xf numFmtId="0" fontId="28" fillId="33" borderId="76" xfId="0" applyFont="1" applyFill="1" applyBorder="1" applyAlignment="1" applyProtection="1">
      <alignment/>
      <protection/>
    </xf>
    <xf numFmtId="0" fontId="75" fillId="33" borderId="76" xfId="0" applyFont="1" applyFill="1" applyBorder="1" applyAlignment="1" applyProtection="1">
      <alignment/>
      <protection/>
    </xf>
    <xf numFmtId="0" fontId="76" fillId="33" borderId="14" xfId="0" applyFont="1" applyFill="1" applyBorder="1" applyAlignment="1" applyProtection="1">
      <alignment/>
      <protection/>
    </xf>
    <xf numFmtId="0" fontId="24" fillId="33" borderId="14" xfId="0" applyFont="1" applyFill="1" applyBorder="1" applyAlignment="1">
      <alignment/>
    </xf>
    <xf numFmtId="0" fontId="75" fillId="33" borderId="14" xfId="0" applyFont="1" applyFill="1" applyBorder="1" applyAlignment="1">
      <alignment/>
    </xf>
    <xf numFmtId="0" fontId="75" fillId="33" borderId="0" xfId="0" applyFont="1" applyFill="1" applyAlignment="1">
      <alignment/>
    </xf>
    <xf numFmtId="0" fontId="75" fillId="33" borderId="57" xfId="0" applyFont="1" applyFill="1" applyBorder="1" applyAlignment="1">
      <alignment/>
    </xf>
    <xf numFmtId="0" fontId="75" fillId="33" borderId="34" xfId="0" applyFont="1" applyFill="1" applyBorder="1" applyAlignment="1">
      <alignment/>
    </xf>
    <xf numFmtId="0" fontId="75" fillId="33" borderId="51" xfId="0" applyFont="1" applyFill="1" applyBorder="1" applyAlignment="1">
      <alignment/>
    </xf>
    <xf numFmtId="0" fontId="75" fillId="33" borderId="10" xfId="0" applyFont="1" applyFill="1" applyBorder="1" applyAlignment="1">
      <alignment/>
    </xf>
    <xf numFmtId="0" fontId="75" fillId="33" borderId="0" xfId="0" applyFont="1" applyFill="1" applyBorder="1" applyAlignment="1">
      <alignment/>
    </xf>
    <xf numFmtId="0" fontId="78" fillId="33" borderId="0" xfId="0" applyFont="1" applyFill="1" applyAlignment="1">
      <alignment/>
    </xf>
    <xf numFmtId="0" fontId="78" fillId="33" borderId="24" xfId="0" applyFont="1" applyFill="1" applyBorder="1" applyAlignment="1">
      <alignment/>
    </xf>
    <xf numFmtId="0" fontId="75" fillId="33" borderId="24" xfId="0" applyFont="1" applyFill="1" applyBorder="1" applyAlignment="1">
      <alignment/>
    </xf>
    <xf numFmtId="0" fontId="78" fillId="33" borderId="63" xfId="0" applyFont="1" applyFill="1" applyBorder="1" applyAlignment="1">
      <alignment/>
    </xf>
    <xf numFmtId="0" fontId="75" fillId="33" borderId="63" xfId="0" applyFont="1" applyFill="1" applyBorder="1" applyAlignment="1">
      <alignment/>
    </xf>
    <xf numFmtId="0" fontId="75" fillId="33" borderId="64" xfId="0" applyFont="1" applyFill="1" applyBorder="1" applyAlignment="1">
      <alignment/>
    </xf>
    <xf numFmtId="0" fontId="2" fillId="33" borderId="22" xfId="0" applyNumberFormat="1" applyFont="1" applyFill="1" applyBorder="1" applyAlignment="1" applyProtection="1">
      <alignment/>
      <protection/>
    </xf>
    <xf numFmtId="0" fontId="60" fillId="33" borderId="0" xfId="55" applyFont="1" applyFill="1">
      <alignment/>
      <protection/>
    </xf>
    <xf numFmtId="0" fontId="61" fillId="33" borderId="0" xfId="55" applyFont="1" applyFill="1">
      <alignment/>
      <protection/>
    </xf>
    <xf numFmtId="0" fontId="62" fillId="33" borderId="0" xfId="55" applyFont="1" applyFill="1">
      <alignment/>
      <protection/>
    </xf>
    <xf numFmtId="0" fontId="63" fillId="33" borderId="0" xfId="55" applyFont="1" applyFill="1" applyBorder="1">
      <alignment/>
      <protection/>
    </xf>
    <xf numFmtId="0" fontId="61" fillId="33" borderId="10" xfId="55" applyFont="1" applyFill="1" applyBorder="1" applyProtection="1">
      <alignment/>
      <protection locked="0"/>
    </xf>
    <xf numFmtId="11" fontId="61" fillId="33" borderId="10" xfId="55" applyNumberFormat="1" applyFont="1" applyFill="1" applyBorder="1" applyProtection="1">
      <alignment/>
      <protection locked="0"/>
    </xf>
    <xf numFmtId="0" fontId="64" fillId="33" borderId="0" xfId="55" applyFont="1" applyFill="1">
      <alignment/>
      <protection/>
    </xf>
    <xf numFmtId="167" fontId="64" fillId="33" borderId="76" xfId="55" applyNumberFormat="1" applyFont="1" applyFill="1" applyBorder="1">
      <alignment/>
      <protection/>
    </xf>
    <xf numFmtId="166" fontId="61" fillId="33" borderId="0" xfId="55" applyNumberFormat="1" applyFont="1" applyFill="1">
      <alignment/>
      <protection/>
    </xf>
    <xf numFmtId="0" fontId="65" fillId="33" borderId="0" xfId="55" applyFont="1" applyFill="1">
      <alignment/>
      <protection/>
    </xf>
    <xf numFmtId="0" fontId="61" fillId="33" borderId="14" xfId="55" applyFont="1" applyFill="1" applyBorder="1">
      <alignment/>
      <protection/>
    </xf>
    <xf numFmtId="0" fontId="66" fillId="0" borderId="77" xfId="55" applyFont="1" applyBorder="1" applyAlignment="1">
      <alignment horizontal="left" vertical="center" wrapText="1"/>
      <protection/>
    </xf>
    <xf numFmtId="0" fontId="66" fillId="0" borderId="78" xfId="55" applyFont="1" applyBorder="1" applyAlignment="1">
      <alignment horizontal="right" vertical="center" wrapText="1"/>
      <protection/>
    </xf>
    <xf numFmtId="0" fontId="66" fillId="0" borderId="79" xfId="55" applyFont="1" applyBorder="1" applyAlignment="1">
      <alignment horizontal="left" vertical="center" wrapText="1"/>
      <protection/>
    </xf>
    <xf numFmtId="0" fontId="66" fillId="0" borderId="77" xfId="55" applyFont="1" applyBorder="1" applyAlignment="1">
      <alignment horizontal="right" vertical="center" wrapText="1"/>
      <protection/>
    </xf>
    <xf numFmtId="0" fontId="27" fillId="0" borderId="80" xfId="55" applyFont="1" applyBorder="1" applyAlignment="1">
      <alignment horizontal="left" vertical="center" wrapText="1"/>
      <protection/>
    </xf>
    <xf numFmtId="0" fontId="27" fillId="0" borderId="81" xfId="55" applyFont="1" applyBorder="1" applyAlignment="1">
      <alignment horizontal="right" vertical="center" wrapText="1"/>
      <protection/>
    </xf>
    <xf numFmtId="0" fontId="66" fillId="0" borderId="82" xfId="55" applyFont="1" applyBorder="1" applyAlignment="1">
      <alignment horizontal="left" vertical="center" wrapText="1"/>
      <protection/>
    </xf>
    <xf numFmtId="0" fontId="66" fillId="0" borderId="81" xfId="55" applyFont="1" applyBorder="1" applyAlignment="1">
      <alignment horizontal="right" vertical="center" wrapText="1"/>
      <protection/>
    </xf>
    <xf numFmtId="0" fontId="27" fillId="0" borderId="82" xfId="55" applyFont="1" applyBorder="1" applyAlignment="1">
      <alignment horizontal="left" vertical="center" wrapText="1"/>
      <protection/>
    </xf>
    <xf numFmtId="0" fontId="66" fillId="0" borderId="80" xfId="55" applyFont="1" applyBorder="1" applyAlignment="1">
      <alignment horizontal="right" vertical="center" wrapText="1"/>
      <protection/>
    </xf>
    <xf numFmtId="0" fontId="66" fillId="0" borderId="83" xfId="55" applyFont="1" applyBorder="1" applyAlignment="1">
      <alignment horizontal="left" vertical="center" wrapText="1"/>
      <protection/>
    </xf>
    <xf numFmtId="0" fontId="66" fillId="0" borderId="84" xfId="55" applyFont="1" applyBorder="1" applyAlignment="1">
      <alignment horizontal="right" vertical="center" wrapText="1"/>
      <protection/>
    </xf>
    <xf numFmtId="0" fontId="66" fillId="0" borderId="85" xfId="55" applyFont="1" applyBorder="1" applyAlignment="1">
      <alignment horizontal="left" vertical="center" wrapText="1"/>
      <protection/>
    </xf>
    <xf numFmtId="0" fontId="66" fillId="0" borderId="83" xfId="55" applyFont="1" applyBorder="1" applyAlignment="1">
      <alignment horizontal="right" vertical="center" wrapText="1"/>
      <protection/>
    </xf>
    <xf numFmtId="0" fontId="27" fillId="0" borderId="83" xfId="55" applyFont="1" applyBorder="1" applyAlignment="1">
      <alignment horizontal="left" vertical="center" wrapText="1"/>
      <protection/>
    </xf>
    <xf numFmtId="174" fontId="27" fillId="0" borderId="84" xfId="55" applyNumberFormat="1" applyFont="1" applyBorder="1" applyAlignment="1">
      <alignment horizontal="right" vertical="center" wrapText="1"/>
      <protection/>
    </xf>
    <xf numFmtId="0" fontId="27" fillId="0" borderId="85" xfId="55" applyFont="1" applyBorder="1" applyAlignment="1">
      <alignment horizontal="left" vertical="center" wrapText="1"/>
      <protection/>
    </xf>
    <xf numFmtId="0" fontId="27" fillId="0" borderId="84" xfId="55" applyFont="1" applyBorder="1" applyAlignment="1">
      <alignment horizontal="right" vertical="center" wrapText="1"/>
      <protection/>
    </xf>
    <xf numFmtId="0" fontId="67" fillId="33" borderId="0" xfId="55" applyFont="1" applyFill="1">
      <alignment/>
      <protection/>
    </xf>
    <xf numFmtId="0" fontId="2" fillId="33" borderId="34" xfId="0" applyNumberFormat="1" applyFont="1" applyFill="1" applyBorder="1" applyAlignment="1" applyProtection="1">
      <alignment/>
      <protection/>
    </xf>
    <xf numFmtId="0" fontId="2" fillId="33" borderId="10" xfId="0" applyFont="1" applyFill="1" applyBorder="1" applyAlignment="1" applyProtection="1">
      <alignment/>
      <protection/>
    </xf>
    <xf numFmtId="0" fontId="2" fillId="33" borderId="10" xfId="0" applyNumberFormat="1" applyFont="1" applyFill="1" applyBorder="1" applyAlignment="1" applyProtection="1">
      <alignment/>
      <protection/>
    </xf>
    <xf numFmtId="0" fontId="35" fillId="33" borderId="50" xfId="0" applyNumberFormat="1" applyFont="1" applyFill="1" applyBorder="1" applyAlignment="1" applyProtection="1">
      <alignment horizontal="center"/>
      <protection/>
    </xf>
    <xf numFmtId="0" fontId="35" fillId="33" borderId="0" xfId="0" applyFont="1" applyFill="1" applyAlignment="1" applyProtection="1">
      <alignment/>
      <protection/>
    </xf>
    <xf numFmtId="0" fontId="35" fillId="33" borderId="21" xfId="0" applyNumberFormat="1" applyFont="1" applyFill="1" applyBorder="1" applyAlignment="1" applyProtection="1">
      <alignment horizontal="right"/>
      <protection/>
    </xf>
    <xf numFmtId="0" fontId="35" fillId="33" borderId="17" xfId="0" applyNumberFormat="1" applyFont="1" applyFill="1" applyBorder="1" applyAlignment="1" applyProtection="1">
      <alignment horizontal="right"/>
      <protection/>
    </xf>
    <xf numFmtId="0" fontId="25" fillId="36" borderId="43" xfId="53" applyFont="1" applyFill="1" applyBorder="1" applyAlignment="1">
      <alignment horizontal="right" wrapText="1"/>
      <protection/>
    </xf>
    <xf numFmtId="0" fontId="25" fillId="36" borderId="46" xfId="53" applyFont="1" applyFill="1" applyBorder="1" applyAlignment="1">
      <alignment horizontal="right" wrapText="1"/>
      <protection/>
    </xf>
    <xf numFmtId="0" fontId="25" fillId="36" borderId="49" xfId="53" applyFont="1" applyFill="1" applyBorder="1" applyAlignment="1">
      <alignment horizontal="right" wrapText="1"/>
      <protection/>
    </xf>
    <xf numFmtId="182" fontId="70" fillId="33" borderId="0" xfId="0" applyNumberFormat="1" applyFont="1" applyFill="1" applyBorder="1" applyAlignment="1" applyProtection="1">
      <alignment horizontal="left"/>
      <protection/>
    </xf>
    <xf numFmtId="173" fontId="70" fillId="33" borderId="0" xfId="0" applyNumberFormat="1" applyFont="1" applyFill="1" applyBorder="1" applyAlignment="1" applyProtection="1">
      <alignment horizontal="left"/>
      <protection/>
    </xf>
    <xf numFmtId="0" fontId="57" fillId="33" borderId="36" xfId="0" applyNumberFormat="1" applyFont="1" applyFill="1" applyBorder="1" applyAlignment="1" applyProtection="1">
      <alignment/>
      <protection/>
    </xf>
    <xf numFmtId="0" fontId="74" fillId="33" borderId="0" xfId="0" applyFont="1" applyFill="1" applyAlignment="1" applyProtection="1">
      <alignment horizontal="left"/>
      <protection hidden="1"/>
    </xf>
    <xf numFmtId="0" fontId="75" fillId="33" borderId="0" xfId="0" applyFont="1" applyFill="1" applyAlignment="1" applyProtection="1">
      <alignment horizontal="left"/>
      <protection hidden="1"/>
    </xf>
    <xf numFmtId="0" fontId="6" fillId="33" borderId="0" xfId="0" applyFont="1" applyFill="1" applyBorder="1" applyAlignment="1" applyProtection="1">
      <alignment horizontal="left" wrapText="1"/>
      <protection/>
    </xf>
    <xf numFmtId="0" fontId="6" fillId="0" borderId="0" xfId="0" applyFont="1" applyAlignment="1">
      <alignment horizontal="left" wrapText="1"/>
    </xf>
    <xf numFmtId="0" fontId="76" fillId="33" borderId="33" xfId="0" applyFont="1" applyFill="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14" fontId="0" fillId="33" borderId="14" xfId="0" applyNumberFormat="1" applyFont="1" applyFill="1" applyBorder="1" applyAlignment="1" applyProtection="1">
      <alignment horizontal="left"/>
      <protection/>
    </xf>
    <xf numFmtId="14" fontId="0" fillId="33" borderId="17" xfId="0" applyNumberFormat="1" applyFont="1" applyFill="1" applyBorder="1" applyAlignment="1" applyProtection="1">
      <alignment horizontal="left"/>
      <protection/>
    </xf>
    <xf numFmtId="0" fontId="75" fillId="33" borderId="33" xfId="0" applyFont="1" applyFill="1" applyBorder="1" applyAlignment="1" applyProtection="1">
      <alignment horizontal="center" vertical="top"/>
      <protection/>
    </xf>
    <xf numFmtId="0" fontId="75" fillId="33" borderId="25" xfId="0" applyFont="1" applyFill="1" applyBorder="1" applyAlignment="1" applyProtection="1">
      <alignment horizontal="center" vertical="top"/>
      <protection/>
    </xf>
    <xf numFmtId="0" fontId="75" fillId="33" borderId="22" xfId="0" applyFont="1" applyFill="1" applyBorder="1" applyAlignment="1" applyProtection="1">
      <alignment horizontal="center" vertical="top"/>
      <protection/>
    </xf>
    <xf numFmtId="0" fontId="75" fillId="33" borderId="21" xfId="0" applyFont="1" applyFill="1" applyBorder="1" applyAlignment="1" applyProtection="1">
      <alignment horizontal="center" vertical="top"/>
      <protection/>
    </xf>
    <xf numFmtId="182" fontId="68" fillId="33" borderId="0" xfId="0" applyNumberFormat="1" applyFont="1" applyFill="1" applyBorder="1" applyAlignment="1" applyProtection="1">
      <alignment horizontal="left" wrapText="1"/>
      <protection/>
    </xf>
    <xf numFmtId="14" fontId="0" fillId="33" borderId="14" xfId="0" applyNumberFormat="1" applyFont="1" applyFill="1" applyBorder="1" applyAlignment="1" applyProtection="1">
      <alignment horizontal="right"/>
      <protection locked="0"/>
    </xf>
    <xf numFmtId="14" fontId="0" fillId="33" borderId="14" xfId="0" applyNumberFormat="1" applyFill="1" applyBorder="1" applyAlignment="1" applyProtection="1">
      <alignment horizontal="right"/>
      <protection locked="0"/>
    </xf>
    <xf numFmtId="49" fontId="0" fillId="33" borderId="14" xfId="0" applyNumberFormat="1" applyFont="1" applyFill="1" applyBorder="1" applyAlignment="1" applyProtection="1">
      <alignment horizontal="right"/>
      <protection locked="0"/>
    </xf>
    <xf numFmtId="49" fontId="0" fillId="33" borderId="15" xfId="0" applyNumberFormat="1" applyFont="1" applyFill="1" applyBorder="1" applyAlignment="1" applyProtection="1">
      <alignment horizontal="right"/>
      <protection locked="0"/>
    </xf>
    <xf numFmtId="49" fontId="0" fillId="33" borderId="15" xfId="0" applyNumberFormat="1" applyFill="1" applyBorder="1" applyAlignment="1" applyProtection="1">
      <alignment horizontal="right"/>
      <protection locked="0"/>
    </xf>
    <xf numFmtId="0" fontId="35" fillId="33" borderId="0" xfId="0" applyNumberFormat="1" applyFont="1" applyFill="1" applyAlignment="1" applyProtection="1">
      <alignment horizontal="left" vertical="center" wrapText="1"/>
      <protection/>
    </xf>
    <xf numFmtId="49" fontId="0" fillId="33" borderId="20" xfId="0" applyNumberFormat="1" applyFont="1" applyFill="1" applyBorder="1" applyAlignment="1" applyProtection="1">
      <alignment horizontal="left"/>
      <protection locked="0"/>
    </xf>
    <xf numFmtId="0" fontId="0" fillId="0" borderId="20" xfId="0" applyBorder="1" applyAlignment="1" applyProtection="1">
      <alignment horizontal="left"/>
      <protection locked="0"/>
    </xf>
    <xf numFmtId="0" fontId="0" fillId="33" borderId="14" xfId="0" applyNumberFormat="1" applyFont="1" applyFill="1" applyBorder="1" applyAlignment="1" applyProtection="1">
      <alignment horizontal="left"/>
      <protection locked="0"/>
    </xf>
    <xf numFmtId="0" fontId="0" fillId="0" borderId="14" xfId="0" applyBorder="1" applyAlignment="1" applyProtection="1">
      <alignment horizontal="left"/>
      <protection locked="0"/>
    </xf>
    <xf numFmtId="49" fontId="0" fillId="33" borderId="86" xfId="0" applyNumberFormat="1" applyFont="1" applyFill="1" applyBorder="1" applyAlignment="1" applyProtection="1">
      <alignment horizontal="left"/>
      <protection locked="0"/>
    </xf>
    <xf numFmtId="0" fontId="0" fillId="0" borderId="87" xfId="0" applyBorder="1" applyAlignment="1" applyProtection="1">
      <alignment horizontal="left"/>
      <protection locked="0"/>
    </xf>
    <xf numFmtId="49" fontId="0" fillId="33" borderId="58" xfId="0" applyNumberFormat="1" applyFont="1" applyFill="1" applyBorder="1" applyAlignment="1" applyProtection="1">
      <alignment horizontal="left"/>
      <protection locked="0"/>
    </xf>
    <xf numFmtId="0" fontId="0" fillId="0" borderId="88" xfId="0" applyBorder="1" applyAlignment="1" applyProtection="1">
      <alignment horizontal="left"/>
      <protection locked="0"/>
    </xf>
    <xf numFmtId="49" fontId="0" fillId="33" borderId="89" xfId="0" applyNumberFormat="1" applyFont="1" applyFill="1" applyBorder="1" applyAlignment="1" applyProtection="1">
      <alignment horizontal="left"/>
      <protection locked="0"/>
    </xf>
    <xf numFmtId="0" fontId="0" fillId="0" borderId="90" xfId="0" applyBorder="1" applyAlignment="1" applyProtection="1">
      <alignment horizontal="left"/>
      <protection locked="0"/>
    </xf>
    <xf numFmtId="49" fontId="0" fillId="33" borderId="14" xfId="0" applyNumberFormat="1" applyFont="1" applyFill="1" applyBorder="1" applyAlignment="1" applyProtection="1">
      <alignment horizontal="left"/>
      <protection locked="0"/>
    </xf>
    <xf numFmtId="0" fontId="0" fillId="33" borderId="15" xfId="0" applyNumberFormat="1" applyFont="1" applyFill="1" applyBorder="1" applyAlignment="1" applyProtection="1">
      <alignment horizontal="left"/>
      <protection locked="0"/>
    </xf>
    <xf numFmtId="0" fontId="0" fillId="0" borderId="15" xfId="0" applyBorder="1" applyAlignment="1" applyProtection="1">
      <alignment horizontal="left"/>
      <protection locked="0"/>
    </xf>
    <xf numFmtId="0" fontId="34" fillId="33" borderId="91" xfId="0" applyNumberFormat="1" applyFont="1" applyFill="1" applyBorder="1" applyAlignment="1" applyProtection="1">
      <alignment horizontal="left"/>
      <protection/>
    </xf>
    <xf numFmtId="0" fontId="34" fillId="33" borderId="68" xfId="0" applyNumberFormat="1" applyFont="1" applyFill="1" applyBorder="1" applyAlignment="1" applyProtection="1">
      <alignment horizontal="left"/>
      <protection/>
    </xf>
    <xf numFmtId="0" fontId="34" fillId="33" borderId="92" xfId="0" applyNumberFormat="1" applyFont="1" applyFill="1" applyBorder="1" applyAlignment="1" applyProtection="1">
      <alignment horizontal="left"/>
      <protection/>
    </xf>
    <xf numFmtId="0" fontId="35" fillId="33" borderId="0" xfId="0" applyNumberFormat="1" applyFont="1" applyFill="1" applyBorder="1" applyAlignment="1" applyProtection="1">
      <alignment horizontal="left" vertical="top" wrapText="1"/>
      <protection/>
    </xf>
    <xf numFmtId="0" fontId="34" fillId="33" borderId="93" xfId="0" applyNumberFormat="1" applyFont="1" applyFill="1" applyBorder="1" applyAlignment="1" applyProtection="1">
      <alignment horizontal="left"/>
      <protection/>
    </xf>
    <xf numFmtId="0" fontId="34" fillId="33" borderId="0" xfId="0" applyNumberFormat="1" applyFont="1" applyFill="1" applyBorder="1" applyAlignment="1" applyProtection="1">
      <alignment horizontal="left"/>
      <protection/>
    </xf>
    <xf numFmtId="0" fontId="34" fillId="33" borderId="94" xfId="0" applyNumberFormat="1" applyFont="1" applyFill="1" applyBorder="1" applyAlignment="1" applyProtection="1">
      <alignment horizontal="left"/>
      <protection/>
    </xf>
    <xf numFmtId="0" fontId="34" fillId="33" borderId="95" xfId="0" applyNumberFormat="1" applyFont="1" applyFill="1" applyBorder="1" applyAlignment="1" applyProtection="1">
      <alignment horizontal="left"/>
      <protection/>
    </xf>
    <xf numFmtId="0" fontId="34" fillId="33" borderId="96" xfId="0" applyNumberFormat="1" applyFont="1" applyFill="1" applyBorder="1" applyAlignment="1" applyProtection="1">
      <alignment horizontal="left"/>
      <protection/>
    </xf>
    <xf numFmtId="0" fontId="34" fillId="33" borderId="97" xfId="0" applyNumberFormat="1" applyFont="1" applyFill="1" applyBorder="1" applyAlignment="1" applyProtection="1">
      <alignment horizontal="left"/>
      <protection/>
    </xf>
    <xf numFmtId="14" fontId="0" fillId="33" borderId="15" xfId="0" applyNumberFormat="1" applyFill="1" applyBorder="1" applyAlignment="1" applyProtection="1">
      <alignment horizontal="right"/>
      <protection locked="0"/>
    </xf>
    <xf numFmtId="0" fontId="22" fillId="33" borderId="0" xfId="53" applyFont="1" applyFill="1" applyAlignment="1">
      <alignment vertical="top" wrapText="1"/>
      <protection/>
    </xf>
    <xf numFmtId="0" fontId="16" fillId="33" borderId="0" xfId="53" applyFont="1" applyFill="1" applyAlignment="1">
      <alignment wrapText="1"/>
      <protection/>
    </xf>
    <xf numFmtId="0" fontId="0" fillId="0" borderId="0" xfId="53">
      <alignment/>
      <protection/>
    </xf>
    <xf numFmtId="0" fontId="18" fillId="33" borderId="0" xfId="53" applyFont="1" applyFill="1" applyAlignment="1">
      <alignment vertical="top" wrapText="1"/>
      <protection/>
    </xf>
    <xf numFmtId="0" fontId="0" fillId="33" borderId="0" xfId="53" applyFill="1" applyAlignment="1">
      <alignment vertical="top" wrapText="1"/>
      <protection/>
    </xf>
    <xf numFmtId="0" fontId="19" fillId="33" borderId="0" xfId="53" applyFont="1" applyFill="1" applyAlignment="1">
      <alignment vertical="top" wrapText="1"/>
      <protection/>
    </xf>
    <xf numFmtId="0" fontId="18" fillId="33" borderId="0" xfId="53" applyFont="1" applyFill="1" applyAlignment="1">
      <alignment horizontal="left" vertical="top" wrapText="1"/>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 3_LA-Tool_Waagenprüfung"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20">
    <dxf>
      <font>
        <name val="Cambria"/>
        <color indexed="17"/>
      </font>
      <fill>
        <patternFill patternType="solid">
          <fgColor indexed="65"/>
          <bgColor indexed="9"/>
        </patternFill>
      </fill>
      <border>
        <left style="thin"/>
        <right style="thin"/>
        <top style="thin"/>
        <bottom style="thin"/>
      </border>
    </dxf>
    <dxf>
      <font>
        <name val="Cambria"/>
        <color indexed="17"/>
      </font>
      <fill>
        <patternFill patternType="solid">
          <fgColor indexed="65"/>
          <bgColor indexed="9"/>
        </patternFill>
      </fill>
      <border>
        <left style="thin"/>
        <right style="thin"/>
        <top style="thin"/>
        <bottom style="thin"/>
      </border>
    </dxf>
    <dxf>
      <font>
        <color rgb="FFFF0000"/>
      </font>
      <fill>
        <patternFill patternType="none">
          <bgColor indexed="65"/>
        </patternFill>
      </fill>
    </dxf>
    <dxf>
      <font>
        <color rgb="FFFF0000"/>
      </font>
    </dxf>
    <dxf>
      <font>
        <color rgb="FFFF0000"/>
      </font>
      <fill>
        <patternFill>
          <bgColor rgb="FFFFFFCC"/>
        </patternFill>
      </fill>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ill>
        <patternFill>
          <bgColor rgb="FFFFFFCC"/>
        </patternFill>
      </fill>
      <border>
        <left style="thin"/>
        <right style="thin"/>
        <top style="thin"/>
        <bottom style="thin"/>
      </border>
    </dxf>
    <dxf>
      <font>
        <name val="Cambria"/>
        <color rgb="FFFF0000"/>
      </font>
      <fill>
        <patternFill patternType="solid">
          <fgColor indexed="65"/>
          <bgColor theme="0"/>
        </patternFill>
      </fill>
      <border>
        <left/>
        <right/>
        <top/>
        <bottom/>
      </border>
    </dxf>
    <dxf>
      <font>
        <b/>
        <i val="0"/>
        <color indexed="17"/>
      </font>
    </dxf>
    <dxf>
      <font>
        <b/>
        <i val="0"/>
        <color indexed="10"/>
      </font>
    </dxf>
    <dxf>
      <font>
        <b/>
        <i val="0"/>
        <color indexed="17"/>
      </font>
    </dxf>
    <dxf>
      <font>
        <b/>
        <i val="0"/>
        <color indexed="10"/>
      </font>
    </dxf>
    <dxf>
      <font>
        <b/>
        <i val="0"/>
        <color indexed="17"/>
      </font>
    </dxf>
    <dxf>
      <font>
        <b/>
        <i val="0"/>
        <color indexed="10"/>
      </font>
    </dxf>
    <dxf>
      <font>
        <color rgb="FFFF0000"/>
      </font>
      <fill>
        <patternFill patternType="solid">
          <fgColor indexed="65"/>
          <bgColor theme="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color rgb="FFFF0000"/>
      </font>
      <fill>
        <patternFill>
          <bgColor rgb="FFFFFF00"/>
        </patternFill>
      </fill>
      <border>
        <left style="thin">
          <color rgb="FF000000"/>
        </left>
        <right style="thin">
          <color rgb="FF000000"/>
        </right>
        <top style="thin"/>
        <bottom style="thin">
          <color rgb="FF000000"/>
        </bottom>
      </border>
    </dxf>
    <dxf>
      <font>
        <color rgb="FF008000"/>
      </font>
      <fill>
        <patternFill patternType="solid">
          <fgColor indexed="65"/>
          <bgColor rgb="FFFFFF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725"/>
          <c:w val="0.946"/>
          <c:h val="0.92075"/>
        </c:manualLayout>
      </c:layout>
      <c:scatterChart>
        <c:scatterStyle val="lineMarker"/>
        <c:varyColors val="0"/>
        <c:ser>
          <c:idx val="0"/>
          <c:order val="0"/>
          <c:tx>
            <c:v>Unsicherheitsverlauf, ± g</c:v>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2"/>
            <c:spPr>
              <a:solidFill>
                <a:srgbClr val="CCCCFF"/>
              </a:solidFill>
              <a:ln>
                <a:solidFill>
                  <a:srgbClr val="666699"/>
                </a:solidFill>
              </a:ln>
            </c:spPr>
          </c:marker>
          <c:xVal>
            <c:numRef>
              <c:f>Waagenprüfung!$P$76:$P$190</c:f>
              <c:numCache/>
            </c:numRef>
          </c:xVal>
          <c:yVal>
            <c:numRef>
              <c:f>Waagenprüfung!$Q$76:$Q$190</c:f>
              <c:numCache/>
            </c:numRef>
          </c:yVal>
          <c:smooth val="0"/>
        </c:ser>
        <c:axId val="64034904"/>
        <c:axId val="39443225"/>
      </c:scatterChart>
      <c:valAx>
        <c:axId val="64034904"/>
        <c:scaling>
          <c:logBase val="10"/>
          <c:orientation val="minMax"/>
        </c:scaling>
        <c:axPos val="b"/>
        <c:title>
          <c:tx>
            <c:rich>
              <a:bodyPr vert="horz" rot="0" anchor="ctr"/>
              <a:lstStyle/>
              <a:p>
                <a:pPr algn="ctr">
                  <a:defRPr/>
                </a:pPr>
                <a:r>
                  <a:rPr lang="en-US" cap="none" sz="1200" b="1" i="0" u="none" baseline="0">
                    <a:solidFill>
                      <a:srgbClr val="000000"/>
                    </a:solidFill>
                  </a:rPr>
                  <a:t>Prüflast L  [g]</a:t>
                </a:r>
              </a:p>
            </c:rich>
          </c:tx>
          <c:layout>
            <c:manualLayout>
              <c:xMode val="factor"/>
              <c:yMode val="factor"/>
              <c:x val="-0.00125"/>
              <c:y val="0.0107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443225"/>
        <c:crosses val="max"/>
        <c:crossBetween val="midCat"/>
        <c:dispUnits/>
      </c:valAx>
      <c:valAx>
        <c:axId val="39443225"/>
        <c:scaling>
          <c:logBase val="10"/>
          <c:orientation val="minMax"/>
          <c:max val="100"/>
        </c:scaling>
        <c:axPos val="l"/>
        <c:title>
          <c:tx>
            <c:rich>
              <a:bodyPr vert="horz" rot="5400000" anchor="ctr"/>
              <a:lstStyle/>
              <a:p>
                <a:pPr algn="ctr">
                  <a:defRPr/>
                </a:pPr>
                <a:r>
                  <a:rPr lang="en-US" cap="none" sz="1400" b="1" i="0" u="none" baseline="0">
                    <a:solidFill>
                      <a:srgbClr val="000000"/>
                    </a:solidFill>
                  </a:rPr>
                  <a:t>U</a:t>
                </a:r>
                <a:r>
                  <a:rPr lang="en-US" cap="none" sz="1400" b="1" i="0" u="none" baseline="-25000">
                    <a:solidFill>
                      <a:srgbClr val="000000"/>
                    </a:solidFill>
                  </a:rPr>
                  <a:t>rel.</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 %</a:t>
                </a:r>
              </a:p>
            </c:rich>
          </c:tx>
          <c:layout>
            <c:manualLayout>
              <c:xMode val="factor"/>
              <c:yMode val="factor"/>
              <c:x val="-0.007"/>
              <c:y val="0.014"/>
            </c:manualLayout>
          </c:layout>
          <c:overlay val="0"/>
          <c:spPr>
            <a:noFill/>
            <a:ln>
              <a:noFill/>
            </a:ln>
          </c:spPr>
        </c:title>
        <c:majorGridlines>
          <c:spPr>
            <a:ln w="3175">
              <a:solidFill>
                <a:srgbClr val="00000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4034904"/>
        <c:crosses val="max"/>
        <c:crossBetween val="midCat"/>
        <c:dispUnits/>
        <c:minorUnit val="10"/>
      </c:valAx>
      <c:spPr>
        <a:solidFill>
          <a:srgbClr val="FFFFFF"/>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925"/>
          <c:w val="0.96525"/>
          <c:h val="0.96975"/>
        </c:manualLayout>
      </c:layout>
      <c:scatterChart>
        <c:scatterStyle val="lineMarker"/>
        <c:varyColors val="0"/>
        <c:ser>
          <c:idx val="0"/>
          <c:order val="0"/>
          <c:tx>
            <c:v>Unsicherheitsverlauf, ± 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66"/>
              </a:solidFill>
              <a:ln>
                <a:solidFill>
                  <a:srgbClr val="000000"/>
                </a:solidFill>
              </a:ln>
            </c:spPr>
          </c:marker>
          <c:trendline>
            <c:spPr>
              <a:ln w="25400">
                <a:solidFill>
                  <a:srgbClr val="333300"/>
                </a:solidFill>
              </a:ln>
            </c:spPr>
            <c:trendlineType val="linear"/>
            <c:dispEq val="1"/>
            <c:dispRSqr val="0"/>
            <c:trendlineLbl>
              <c:layout>
                <c:manualLayout>
                  <c:x val="0"/>
                  <c:y val="0"/>
                </c:manualLayout>
              </c:layout>
              <c:txPr>
                <a:bodyPr vert="horz" rot="0" anchor="ctr"/>
                <a:lstStyle/>
                <a:p>
                  <a:pPr algn="ctr">
                    <a:defRPr lang="en-US" cap="none" sz="1000" b="0" i="0" u="none" baseline="0">
                      <a:solidFill>
                        <a:srgbClr val="000000"/>
                      </a:solidFill>
                    </a:defRPr>
                  </a:pPr>
                </a:p>
              </c:txPr>
              <c:numFmt formatCode="0.000E+00"/>
              <c:spPr>
                <a:solidFill>
                  <a:srgbClr val="FFFFFF"/>
                </a:solidFill>
                <a:ln w="12700">
                  <a:solidFill>
                    <a:srgbClr val="000000"/>
                  </a:solidFill>
                </a:ln>
              </c:spPr>
            </c:trendlineLbl>
          </c:trendline>
          <c:xVal>
            <c:numRef>
              <c:f>'Darstellung_ U abs'!$C$3:$J$3</c:f>
              <c:numCache/>
            </c:numRef>
          </c:xVal>
          <c:yVal>
            <c:numRef>
              <c:f>'Darstellung_ U abs'!$C$4:$J$4</c:f>
              <c:numCache/>
            </c:numRef>
          </c:yVal>
          <c:smooth val="0"/>
        </c:ser>
        <c:axId val="19444706"/>
        <c:axId val="40784627"/>
      </c:scatterChart>
      <c:valAx>
        <c:axId val="19444706"/>
        <c:scaling>
          <c:orientation val="minMax"/>
        </c:scaling>
        <c:axPos val="b"/>
        <c:title>
          <c:tx>
            <c:rich>
              <a:bodyPr vert="horz" rot="0" anchor="ctr"/>
              <a:lstStyle/>
              <a:p>
                <a:pPr algn="ctr">
                  <a:defRPr/>
                </a:pPr>
                <a:r>
                  <a:rPr lang="en-US" cap="none" sz="1200" b="1" i="0" u="sng" baseline="0">
                    <a:solidFill>
                      <a:srgbClr val="000000"/>
                    </a:solidFill>
                  </a:rPr>
                  <a:t>Prüflast L  [g]</a:t>
                </a:r>
              </a:p>
            </c:rich>
          </c:tx>
          <c:layout>
            <c:manualLayout>
              <c:xMode val="factor"/>
              <c:yMode val="factor"/>
              <c:x val="-0.0025"/>
              <c:y val="-0.000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784627"/>
        <c:crosses val="max"/>
        <c:crossBetween val="midCat"/>
        <c:dispUnits/>
      </c:valAx>
      <c:valAx>
        <c:axId val="40784627"/>
        <c:scaling>
          <c:orientation val="minMax"/>
        </c:scaling>
        <c:axPos val="l"/>
        <c:title>
          <c:tx>
            <c:rich>
              <a:bodyPr vert="horz" rot="5400000" anchor="ctr"/>
              <a:lstStyle/>
              <a:p>
                <a:pPr algn="ctr">
                  <a:defRPr/>
                </a:pPr>
                <a:r>
                  <a:rPr lang="en-US" cap="none" sz="1400" b="1" i="0" u="none" baseline="0">
                    <a:solidFill>
                      <a:srgbClr val="000000"/>
                    </a:solidFill>
                  </a:rPr>
                  <a:t>U</a:t>
                </a:r>
                <a:r>
                  <a:rPr lang="en-US" cap="none" sz="1400" b="1" i="0" u="none" baseline="-25000">
                    <a:solidFill>
                      <a:srgbClr val="000000"/>
                    </a:solidFill>
                  </a:rPr>
                  <a:t>abs.</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 g</a:t>
                </a:r>
              </a:p>
            </c:rich>
          </c:tx>
          <c:layout>
            <c:manualLayout>
              <c:xMode val="factor"/>
              <c:yMode val="factor"/>
              <c:x val="-0.0005"/>
              <c:y val="0.02925"/>
            </c:manualLayout>
          </c:layout>
          <c:overlay val="0"/>
          <c:spPr>
            <a:noFill/>
            <a:ln>
              <a:noFill/>
            </a:ln>
          </c:spPr>
        </c:title>
        <c:majorGridlines>
          <c:spPr>
            <a:ln w="3175">
              <a:solidFill>
                <a:srgbClr val="00000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9444706"/>
        <c:crosses val="max"/>
        <c:crossBetween val="midCat"/>
        <c:dispUnits/>
      </c:valAx>
      <c:spPr>
        <a:solidFill>
          <a:srgbClr val="FFFFFF"/>
        </a:solidFill>
        <a:ln w="3175">
          <a:noFill/>
        </a:ln>
      </c:spPr>
    </c:plotArea>
    <c:plotVisOnly val="1"/>
    <c:dispBlanksAs val="gap"/>
    <c:showDLblsOverMax val="0"/>
  </c:chart>
  <c:spPr>
    <a:solidFill>
      <a:srgbClr val="FFFFFF"/>
    </a:solidFill>
    <a:ln w="12700">
      <a:solidFill>
        <a:srgbClr val="993366"/>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http://www.kern-sohn.com/images/e1.gif" TargetMode="External" /><Relationship Id="rId2" Type="http://schemas.openxmlformats.org/officeDocument/2006/relationships/hyperlink" Target="http://www.kern-sohn.com/os?0000002e000000160019d86d0000022f0899ea45&amp;klasse=E1" TargetMode="External" /><Relationship Id="rId3" Type="http://schemas.openxmlformats.org/officeDocument/2006/relationships/hyperlink" Target="http://www.kern-sohn.com/os?0000002e000000160019d86d0000022f0899ea45&amp;klasse=E1" TargetMode="External" /><Relationship Id="rId4" Type="http://schemas.openxmlformats.org/officeDocument/2006/relationships/image" Target="http://www.kern-sohn.com/images/e2.gif" TargetMode="External" /><Relationship Id="rId5" Type="http://schemas.openxmlformats.org/officeDocument/2006/relationships/hyperlink" Target="http://www.kern-sohn.com/os?0000002e000000160019d86d00000230509052c3&amp;klasse=E2" TargetMode="External" /><Relationship Id="rId6" Type="http://schemas.openxmlformats.org/officeDocument/2006/relationships/hyperlink" Target="http://www.kern-sohn.com/os?0000002e000000160019d86d00000230509052c3&amp;klasse=E2" TargetMode="External" /><Relationship Id="rId7" Type="http://schemas.openxmlformats.org/officeDocument/2006/relationships/image" Target="http://www.kern-sohn.com/images/f1.gif" TargetMode="External" /><Relationship Id="rId8" Type="http://schemas.openxmlformats.org/officeDocument/2006/relationships/hyperlink" Target="http://www.kern-sohn.com/os?0000002e000000160019d86d000002315ae3e81a&amp;klasse=F1" TargetMode="External" /><Relationship Id="rId9" Type="http://schemas.openxmlformats.org/officeDocument/2006/relationships/hyperlink" Target="http://www.kern-sohn.com/os?0000002e000000160019d86d000002315ae3e81a&amp;klasse=F1" TargetMode="External" /><Relationship Id="rId10" Type="http://schemas.openxmlformats.org/officeDocument/2006/relationships/image" Target="http://www.kern-sohn.com/images/f2.gif" TargetMode="External" /><Relationship Id="rId11" Type="http://schemas.openxmlformats.org/officeDocument/2006/relationships/hyperlink" Target="http://www.kern-sohn.com/os?0000002e000000160019d86d000002325c8c352f&amp;klasse=F2" TargetMode="External" /><Relationship Id="rId12" Type="http://schemas.openxmlformats.org/officeDocument/2006/relationships/hyperlink" Target="http://www.kern-sohn.com/os?0000002e000000160019d86d000002325c8c352f&amp;klasse=F2" TargetMode="External" /><Relationship Id="rId13" Type="http://schemas.openxmlformats.org/officeDocument/2006/relationships/image" Target="http://www.kern-sohn.com/images/m1.gif" TargetMode="External" /><Relationship Id="rId14" Type="http://schemas.openxmlformats.org/officeDocument/2006/relationships/hyperlink" Target="http://www.kern-sohn.com/os?0000002e000000160019d86d0000023335734534&amp;klasse=M1" TargetMode="External" /><Relationship Id="rId15" Type="http://schemas.openxmlformats.org/officeDocument/2006/relationships/hyperlink" Target="http://www.kern-sohn.com/os?0000002e000000160019d86d0000023335734534&amp;klasse=M1" TargetMode="External" /><Relationship Id="rId16" Type="http://schemas.openxmlformats.org/officeDocument/2006/relationships/image" Target="http://www.kern-sohn.com/images/m2.gif" TargetMode="External" /><Relationship Id="rId17" Type="http://schemas.openxmlformats.org/officeDocument/2006/relationships/hyperlink" Target="http://www.kern-sohn.com/os?0000002e000000160019d86d0000023409fc8e0c&amp;klasse=M2" TargetMode="External" /><Relationship Id="rId18" Type="http://schemas.openxmlformats.org/officeDocument/2006/relationships/hyperlink" Target="http://www.kern-sohn.com/os?0000002e000000160019d86d0000023409fc8e0c&amp;klasse=M2" TargetMode="External" /><Relationship Id="rId19" Type="http://schemas.openxmlformats.org/officeDocument/2006/relationships/image" Target="http://www.kern-sohn.com/images/m3.gif" TargetMode="External" /><Relationship Id="rId20" Type="http://schemas.openxmlformats.org/officeDocument/2006/relationships/hyperlink" Target="http://www.kern-sohn.com/os?0000002e000000160019d86d00000235665f5f60&amp;klasse=M3" TargetMode="External" /><Relationship Id="rId21" Type="http://schemas.openxmlformats.org/officeDocument/2006/relationships/hyperlink" Target="http://www.kern-sohn.com/os?0000002e000000160019d86d00000235665f5f60&amp;klasse=M3" TargetMode="External"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0</xdr:row>
      <xdr:rowOff>0</xdr:rowOff>
    </xdr:from>
    <xdr:to>
      <xdr:col>7</xdr:col>
      <xdr:colOff>800100</xdr:colOff>
      <xdr:row>0</xdr:row>
      <xdr:rowOff>0</xdr:rowOff>
    </xdr:to>
    <xdr:sp>
      <xdr:nvSpPr>
        <xdr:cNvPr id="1" name="AutoShape 1"/>
        <xdr:cNvSpPr>
          <a:spLocks/>
        </xdr:cNvSpPr>
      </xdr:nvSpPr>
      <xdr:spPr>
        <a:xfrm>
          <a:off x="4724400" y="0"/>
          <a:ext cx="476250" cy="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161925</xdr:rowOff>
    </xdr:from>
    <xdr:to>
      <xdr:col>9</xdr:col>
      <xdr:colOff>742950</xdr:colOff>
      <xdr:row>65</xdr:row>
      <xdr:rowOff>0</xdr:rowOff>
    </xdr:to>
    <xdr:graphicFrame>
      <xdr:nvGraphicFramePr>
        <xdr:cNvPr id="1" name="Diagramm 1"/>
        <xdr:cNvGraphicFramePr/>
      </xdr:nvGraphicFramePr>
      <xdr:xfrm>
        <a:off x="19050" y="8429625"/>
        <a:ext cx="7543800" cy="2105025"/>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295275</xdr:colOff>
      <xdr:row>37</xdr:row>
      <xdr:rowOff>161925</xdr:rowOff>
    </xdr:from>
    <xdr:to>
      <xdr:col>9</xdr:col>
      <xdr:colOff>685800</xdr:colOff>
      <xdr:row>86</xdr:row>
      <xdr:rowOff>3800475</xdr:rowOff>
    </xdr:to>
    <xdr:pic>
      <xdr:nvPicPr>
        <xdr:cNvPr id="2" name="Grafik 3"/>
        <xdr:cNvPicPr preferRelativeResize="1">
          <a:picLocks noChangeAspect="1"/>
        </xdr:cNvPicPr>
      </xdr:nvPicPr>
      <xdr:blipFill>
        <a:blip r:embed="rId2"/>
        <a:stretch>
          <a:fillRect/>
        </a:stretch>
      </xdr:blipFill>
      <xdr:spPr>
        <a:xfrm>
          <a:off x="3352800" y="6162675"/>
          <a:ext cx="4152900" cy="809625"/>
        </a:xfrm>
        <a:prstGeom prst="rect">
          <a:avLst/>
        </a:prstGeom>
        <a:noFill/>
        <a:ln w="9525" cmpd="sng">
          <a:solidFill>
            <a:srgbClr val="4F81BD"/>
          </a:solidFill>
          <a:headEnd type="none"/>
          <a:tailEnd type="none"/>
        </a:ln>
      </xdr:spPr>
    </xdr:pic>
    <xdr:clientData/>
  </xdr:twoCellAnchor>
  <xdr:twoCellAnchor>
    <xdr:from>
      <xdr:col>4</xdr:col>
      <xdr:colOff>390525</xdr:colOff>
      <xdr:row>5</xdr:row>
      <xdr:rowOff>28575</xdr:rowOff>
    </xdr:from>
    <xdr:to>
      <xdr:col>4</xdr:col>
      <xdr:colOff>390525</xdr:colOff>
      <xdr:row>13</xdr:row>
      <xdr:rowOff>38100</xdr:rowOff>
    </xdr:to>
    <xdr:sp>
      <xdr:nvSpPr>
        <xdr:cNvPr id="3" name="Gerader Verbinder 2"/>
        <xdr:cNvSpPr>
          <a:spLocks/>
        </xdr:cNvSpPr>
      </xdr:nvSpPr>
      <xdr:spPr>
        <a:xfrm>
          <a:off x="3448050" y="866775"/>
          <a:ext cx="0" cy="1638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95250</xdr:colOff>
      <xdr:row>8</xdr:row>
      <xdr:rowOff>0</xdr:rowOff>
    </xdr:from>
    <xdr:to>
      <xdr:col>13</xdr:col>
      <xdr:colOff>581025</xdr:colOff>
      <xdr:row>11</xdr:row>
      <xdr:rowOff>0</xdr:rowOff>
    </xdr:to>
    <xdr:sp>
      <xdr:nvSpPr>
        <xdr:cNvPr id="4" name="Geschweifte Klammer rechts 4"/>
        <xdr:cNvSpPr>
          <a:spLocks/>
        </xdr:cNvSpPr>
      </xdr:nvSpPr>
      <xdr:spPr>
        <a:xfrm>
          <a:off x="8505825" y="1438275"/>
          <a:ext cx="485775" cy="600075"/>
        </a:xfrm>
        <a:prstGeom prst="rightBrace">
          <a:avLst/>
        </a:prstGeom>
        <a:noFill/>
        <a:ln w="9525" cmpd="sng">
          <a:solidFill>
            <a:srgbClr val="C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38</xdr:row>
      <xdr:rowOff>0</xdr:rowOff>
    </xdr:from>
    <xdr:to>
      <xdr:col>12</xdr:col>
      <xdr:colOff>180975</xdr:colOff>
      <xdr:row>42</xdr:row>
      <xdr:rowOff>0</xdr:rowOff>
    </xdr:to>
    <xdr:sp>
      <xdr:nvSpPr>
        <xdr:cNvPr id="5" name="Geschweifte Klammer rechts 1"/>
        <xdr:cNvSpPr>
          <a:spLocks/>
        </xdr:cNvSpPr>
      </xdr:nvSpPr>
      <xdr:spPr>
        <a:xfrm>
          <a:off x="7715250" y="6162675"/>
          <a:ext cx="161925" cy="6477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73</xdr:row>
      <xdr:rowOff>142875</xdr:rowOff>
    </xdr:from>
    <xdr:to>
      <xdr:col>19</xdr:col>
      <xdr:colOff>47625</xdr:colOff>
      <xdr:row>192</xdr:row>
      <xdr:rowOff>95250</xdr:rowOff>
    </xdr:to>
    <xdr:sp>
      <xdr:nvSpPr>
        <xdr:cNvPr id="6" name="Rectangle 785"/>
        <xdr:cNvSpPr>
          <a:spLocks/>
        </xdr:cNvSpPr>
      </xdr:nvSpPr>
      <xdr:spPr>
        <a:xfrm>
          <a:off x="0" y="11868150"/>
          <a:ext cx="13211175" cy="573481200"/>
        </a:xfrm>
        <a:prstGeom prst="rect">
          <a:avLst/>
        </a:prstGeom>
        <a:solidFill>
          <a:srgbClr val="FFFFFF"/>
        </a:solidFill>
        <a:ln w="6350" cmpd="sng">
          <a:solidFill>
            <a:srgbClr val="C0C0C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123825</xdr:rowOff>
    </xdr:from>
    <xdr:to>
      <xdr:col>17</xdr:col>
      <xdr:colOff>628650</xdr:colOff>
      <xdr:row>39</xdr:row>
      <xdr:rowOff>38100</xdr:rowOff>
    </xdr:to>
    <xdr:graphicFrame>
      <xdr:nvGraphicFramePr>
        <xdr:cNvPr id="1" name="Diagramm 2"/>
        <xdr:cNvGraphicFramePr/>
      </xdr:nvGraphicFramePr>
      <xdr:xfrm>
        <a:off x="9525" y="323850"/>
        <a:ext cx="13735050" cy="6067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39</xdr:row>
      <xdr:rowOff>104775</xdr:rowOff>
    </xdr:from>
    <xdr:to>
      <xdr:col>5</xdr:col>
      <xdr:colOff>304800</xdr:colOff>
      <xdr:row>42</xdr:row>
      <xdr:rowOff>28575</xdr:rowOff>
    </xdr:to>
    <xdr:pic>
      <xdr:nvPicPr>
        <xdr:cNvPr id="1" name="Grafik 1"/>
        <xdr:cNvPicPr preferRelativeResize="1">
          <a:picLocks noChangeAspect="1"/>
        </xdr:cNvPicPr>
      </xdr:nvPicPr>
      <xdr:blipFill>
        <a:blip r:embed="rId1"/>
        <a:stretch>
          <a:fillRect/>
        </a:stretch>
      </xdr:blipFill>
      <xdr:spPr>
        <a:xfrm>
          <a:off x="47625" y="9458325"/>
          <a:ext cx="3886200" cy="695325"/>
        </a:xfrm>
        <a:prstGeom prst="rect">
          <a:avLst/>
        </a:prstGeom>
        <a:noFill/>
        <a:ln w="9525" cmpd="sng">
          <a:solidFill>
            <a:srgbClr val="4F81BD"/>
          </a:solidFill>
          <a:headEnd type="none"/>
          <a:tailEnd type="none"/>
        </a:ln>
      </xdr:spPr>
    </xdr:pic>
    <xdr:clientData/>
  </xdr:twoCellAnchor>
  <xdr:twoCellAnchor editAs="oneCell">
    <xdr:from>
      <xdr:col>0</xdr:col>
      <xdr:colOff>47625</xdr:colOff>
      <xdr:row>13</xdr:row>
      <xdr:rowOff>123825</xdr:rowOff>
    </xdr:from>
    <xdr:to>
      <xdr:col>5</xdr:col>
      <xdr:colOff>304800</xdr:colOff>
      <xdr:row>16</xdr:row>
      <xdr:rowOff>47625</xdr:rowOff>
    </xdr:to>
    <xdr:pic>
      <xdr:nvPicPr>
        <xdr:cNvPr id="2" name="Grafik 1"/>
        <xdr:cNvPicPr preferRelativeResize="1">
          <a:picLocks noChangeAspect="1"/>
        </xdr:cNvPicPr>
      </xdr:nvPicPr>
      <xdr:blipFill>
        <a:blip r:embed="rId1"/>
        <a:stretch>
          <a:fillRect/>
        </a:stretch>
      </xdr:blipFill>
      <xdr:spPr>
        <a:xfrm>
          <a:off x="47625" y="3343275"/>
          <a:ext cx="3886200" cy="695325"/>
        </a:xfrm>
        <a:prstGeom prst="rect">
          <a:avLst/>
        </a:prstGeom>
        <a:noFill/>
        <a:ln w="9525" cmpd="sng">
          <a:solidFill>
            <a:srgbClr val="4F81BD"/>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123825</xdr:colOff>
      <xdr:row>0</xdr:row>
      <xdr:rowOff>95250</xdr:rowOff>
    </xdr:from>
    <xdr:to>
      <xdr:col>20</xdr:col>
      <xdr:colOff>47625</xdr:colOff>
      <xdr:row>5</xdr:row>
      <xdr:rowOff>76200</xdr:rowOff>
    </xdr:to>
    <xdr:pic>
      <xdr:nvPicPr>
        <xdr:cNvPr id="1" name="Grafik 1"/>
        <xdr:cNvPicPr preferRelativeResize="1">
          <a:picLocks noChangeAspect="1"/>
        </xdr:cNvPicPr>
      </xdr:nvPicPr>
      <xdr:blipFill>
        <a:blip r:embed="rId1"/>
        <a:stretch>
          <a:fillRect/>
        </a:stretch>
      </xdr:blipFill>
      <xdr:spPr>
        <a:xfrm>
          <a:off x="9991725" y="95250"/>
          <a:ext cx="4800600" cy="914400"/>
        </a:xfrm>
        <a:prstGeom prst="rect">
          <a:avLst/>
        </a:prstGeom>
        <a:noFill/>
        <a:ln w="9525" cmpd="sng">
          <a:solidFill>
            <a:srgbClr val="4F81BD"/>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381000</xdr:colOff>
      <xdr:row>0</xdr:row>
      <xdr:rowOff>0</xdr:rowOff>
    </xdr:to>
    <xdr:pic>
      <xdr:nvPicPr>
        <xdr:cNvPr id="1" name="Picture 1" descr="E1-Gewichteshop">
          <a:hlinkClick r:id="rId3"/>
        </xdr:cNvPr>
        <xdr:cNvPicPr preferRelativeResize="1">
          <a:picLocks noChangeAspect="1"/>
        </xdr:cNvPicPr>
      </xdr:nvPicPr>
      <xdr:blipFill>
        <a:blip r:link="rId1"/>
        <a:stretch>
          <a:fillRect/>
        </a:stretch>
      </xdr:blipFill>
      <xdr:spPr>
        <a:xfrm>
          <a:off x="0" y="0"/>
          <a:ext cx="381000" cy="0"/>
        </a:xfrm>
        <a:prstGeom prst="rect">
          <a:avLst/>
        </a:prstGeom>
        <a:noFill/>
        <a:ln w="9525" cmpd="sng">
          <a:noFill/>
        </a:ln>
      </xdr:spPr>
    </xdr:pic>
    <xdr:clientData/>
  </xdr:twoCellAnchor>
  <xdr:twoCellAnchor>
    <xdr:from>
      <xdr:col>0</xdr:col>
      <xdr:colOff>0</xdr:colOff>
      <xdr:row>0</xdr:row>
      <xdr:rowOff>0</xdr:rowOff>
    </xdr:from>
    <xdr:to>
      <xdr:col>0</xdr:col>
      <xdr:colOff>381000</xdr:colOff>
      <xdr:row>0</xdr:row>
      <xdr:rowOff>0</xdr:rowOff>
    </xdr:to>
    <xdr:pic>
      <xdr:nvPicPr>
        <xdr:cNvPr id="2" name="Picture 2" descr="E2-Gewichteshop">
          <a:hlinkClick r:id="rId6"/>
        </xdr:cNvPr>
        <xdr:cNvPicPr preferRelativeResize="1">
          <a:picLocks noChangeAspect="1"/>
        </xdr:cNvPicPr>
      </xdr:nvPicPr>
      <xdr:blipFill>
        <a:blip r:link="rId4"/>
        <a:stretch>
          <a:fillRect/>
        </a:stretch>
      </xdr:blipFill>
      <xdr:spPr>
        <a:xfrm>
          <a:off x="0" y="0"/>
          <a:ext cx="381000" cy="0"/>
        </a:xfrm>
        <a:prstGeom prst="rect">
          <a:avLst/>
        </a:prstGeom>
        <a:noFill/>
        <a:ln w="9525" cmpd="sng">
          <a:noFill/>
        </a:ln>
      </xdr:spPr>
    </xdr:pic>
    <xdr:clientData/>
  </xdr:twoCellAnchor>
  <xdr:twoCellAnchor>
    <xdr:from>
      <xdr:col>0</xdr:col>
      <xdr:colOff>0</xdr:colOff>
      <xdr:row>0</xdr:row>
      <xdr:rowOff>0</xdr:rowOff>
    </xdr:from>
    <xdr:to>
      <xdr:col>0</xdr:col>
      <xdr:colOff>381000</xdr:colOff>
      <xdr:row>0</xdr:row>
      <xdr:rowOff>0</xdr:rowOff>
    </xdr:to>
    <xdr:pic>
      <xdr:nvPicPr>
        <xdr:cNvPr id="3" name="Picture 3" descr="F1-Gewichteshop">
          <a:hlinkClick r:id="rId9"/>
        </xdr:cNvPr>
        <xdr:cNvPicPr preferRelativeResize="1">
          <a:picLocks noChangeAspect="1"/>
        </xdr:cNvPicPr>
      </xdr:nvPicPr>
      <xdr:blipFill>
        <a:blip r:link="rId7"/>
        <a:stretch>
          <a:fillRect/>
        </a:stretch>
      </xdr:blipFill>
      <xdr:spPr>
        <a:xfrm>
          <a:off x="0" y="0"/>
          <a:ext cx="381000" cy="0"/>
        </a:xfrm>
        <a:prstGeom prst="rect">
          <a:avLst/>
        </a:prstGeom>
        <a:noFill/>
        <a:ln w="9525" cmpd="sng">
          <a:noFill/>
        </a:ln>
      </xdr:spPr>
    </xdr:pic>
    <xdr:clientData/>
  </xdr:twoCellAnchor>
  <xdr:twoCellAnchor>
    <xdr:from>
      <xdr:col>0</xdr:col>
      <xdr:colOff>0</xdr:colOff>
      <xdr:row>0</xdr:row>
      <xdr:rowOff>0</xdr:rowOff>
    </xdr:from>
    <xdr:to>
      <xdr:col>0</xdr:col>
      <xdr:colOff>381000</xdr:colOff>
      <xdr:row>0</xdr:row>
      <xdr:rowOff>0</xdr:rowOff>
    </xdr:to>
    <xdr:pic>
      <xdr:nvPicPr>
        <xdr:cNvPr id="4" name="Picture 4" descr="F2-Gewichteshop">
          <a:hlinkClick r:id="rId12"/>
        </xdr:cNvPr>
        <xdr:cNvPicPr preferRelativeResize="1">
          <a:picLocks noChangeAspect="1"/>
        </xdr:cNvPicPr>
      </xdr:nvPicPr>
      <xdr:blipFill>
        <a:blip r:link="rId10"/>
        <a:stretch>
          <a:fillRect/>
        </a:stretch>
      </xdr:blipFill>
      <xdr:spPr>
        <a:xfrm>
          <a:off x="0" y="0"/>
          <a:ext cx="381000" cy="0"/>
        </a:xfrm>
        <a:prstGeom prst="rect">
          <a:avLst/>
        </a:prstGeom>
        <a:noFill/>
        <a:ln w="9525" cmpd="sng">
          <a:noFill/>
        </a:ln>
      </xdr:spPr>
    </xdr:pic>
    <xdr:clientData/>
  </xdr:twoCellAnchor>
  <xdr:twoCellAnchor>
    <xdr:from>
      <xdr:col>0</xdr:col>
      <xdr:colOff>0</xdr:colOff>
      <xdr:row>0</xdr:row>
      <xdr:rowOff>0</xdr:rowOff>
    </xdr:from>
    <xdr:to>
      <xdr:col>0</xdr:col>
      <xdr:colOff>381000</xdr:colOff>
      <xdr:row>0</xdr:row>
      <xdr:rowOff>0</xdr:rowOff>
    </xdr:to>
    <xdr:pic>
      <xdr:nvPicPr>
        <xdr:cNvPr id="5" name="Picture 5" descr="M1-Gewichteshop">
          <a:hlinkClick r:id="rId15"/>
        </xdr:cNvPr>
        <xdr:cNvPicPr preferRelativeResize="1">
          <a:picLocks noChangeAspect="1"/>
        </xdr:cNvPicPr>
      </xdr:nvPicPr>
      <xdr:blipFill>
        <a:blip r:link="rId13"/>
        <a:stretch>
          <a:fillRect/>
        </a:stretch>
      </xdr:blipFill>
      <xdr:spPr>
        <a:xfrm>
          <a:off x="0" y="0"/>
          <a:ext cx="381000" cy="0"/>
        </a:xfrm>
        <a:prstGeom prst="rect">
          <a:avLst/>
        </a:prstGeom>
        <a:noFill/>
        <a:ln w="9525" cmpd="sng">
          <a:noFill/>
        </a:ln>
      </xdr:spPr>
    </xdr:pic>
    <xdr:clientData/>
  </xdr:twoCellAnchor>
  <xdr:twoCellAnchor>
    <xdr:from>
      <xdr:col>0</xdr:col>
      <xdr:colOff>0</xdr:colOff>
      <xdr:row>0</xdr:row>
      <xdr:rowOff>0</xdr:rowOff>
    </xdr:from>
    <xdr:to>
      <xdr:col>0</xdr:col>
      <xdr:colOff>381000</xdr:colOff>
      <xdr:row>0</xdr:row>
      <xdr:rowOff>0</xdr:rowOff>
    </xdr:to>
    <xdr:pic>
      <xdr:nvPicPr>
        <xdr:cNvPr id="6" name="Picture 6" descr="M2-Gewichteshop">
          <a:hlinkClick r:id="rId18"/>
        </xdr:cNvPr>
        <xdr:cNvPicPr preferRelativeResize="1">
          <a:picLocks noChangeAspect="1"/>
        </xdr:cNvPicPr>
      </xdr:nvPicPr>
      <xdr:blipFill>
        <a:blip r:link="rId16"/>
        <a:stretch>
          <a:fillRect/>
        </a:stretch>
      </xdr:blipFill>
      <xdr:spPr>
        <a:xfrm>
          <a:off x="0" y="0"/>
          <a:ext cx="381000" cy="0"/>
        </a:xfrm>
        <a:prstGeom prst="rect">
          <a:avLst/>
        </a:prstGeom>
        <a:noFill/>
        <a:ln w="9525" cmpd="sng">
          <a:noFill/>
        </a:ln>
      </xdr:spPr>
    </xdr:pic>
    <xdr:clientData/>
  </xdr:twoCellAnchor>
  <xdr:twoCellAnchor>
    <xdr:from>
      <xdr:col>0</xdr:col>
      <xdr:colOff>0</xdr:colOff>
      <xdr:row>0</xdr:row>
      <xdr:rowOff>0</xdr:rowOff>
    </xdr:from>
    <xdr:to>
      <xdr:col>0</xdr:col>
      <xdr:colOff>381000</xdr:colOff>
      <xdr:row>0</xdr:row>
      <xdr:rowOff>0</xdr:rowOff>
    </xdr:to>
    <xdr:pic>
      <xdr:nvPicPr>
        <xdr:cNvPr id="7" name="Picture 7" descr="M3-Gewichteshop">
          <a:hlinkClick r:id="rId21"/>
        </xdr:cNvPr>
        <xdr:cNvPicPr preferRelativeResize="1">
          <a:picLocks noChangeAspect="1"/>
        </xdr:cNvPicPr>
      </xdr:nvPicPr>
      <xdr:blipFill>
        <a:blip r:link="rId19"/>
        <a:stretch>
          <a:fillRect/>
        </a:stretch>
      </xdr:blipFill>
      <xdr:spPr>
        <a:xfrm>
          <a:off x="0" y="0"/>
          <a:ext cx="381000" cy="0"/>
        </a:xfrm>
        <a:prstGeom prst="rect">
          <a:avLst/>
        </a:prstGeom>
        <a:noFill/>
        <a:ln w="9525" cmpd="sng">
          <a:noFill/>
        </a:ln>
      </xdr:spPr>
    </xdr:pic>
    <xdr:clientData/>
  </xdr:twoCellAnchor>
  <xdr:twoCellAnchor>
    <xdr:from>
      <xdr:col>1</xdr:col>
      <xdr:colOff>266700</xdr:colOff>
      <xdr:row>11</xdr:row>
      <xdr:rowOff>0</xdr:rowOff>
    </xdr:from>
    <xdr:to>
      <xdr:col>2</xdr:col>
      <xdr:colOff>0</xdr:colOff>
      <xdr:row>13</xdr:row>
      <xdr:rowOff>47625</xdr:rowOff>
    </xdr:to>
    <xdr:pic>
      <xdr:nvPicPr>
        <xdr:cNvPr id="8" name="Picture 8" descr="E1"/>
        <xdr:cNvPicPr preferRelativeResize="1">
          <a:picLocks noChangeAspect="1"/>
        </xdr:cNvPicPr>
      </xdr:nvPicPr>
      <xdr:blipFill>
        <a:blip r:link="rId1"/>
        <a:stretch>
          <a:fillRect/>
        </a:stretch>
      </xdr:blipFill>
      <xdr:spPr>
        <a:xfrm>
          <a:off x="1047750" y="1819275"/>
          <a:ext cx="314325" cy="371475"/>
        </a:xfrm>
        <a:prstGeom prst="rect">
          <a:avLst/>
        </a:prstGeom>
        <a:noFill/>
        <a:ln w="9525" cmpd="sng">
          <a:noFill/>
        </a:ln>
      </xdr:spPr>
    </xdr:pic>
    <xdr:clientData/>
  </xdr:twoCellAnchor>
  <xdr:twoCellAnchor>
    <xdr:from>
      <xdr:col>2</xdr:col>
      <xdr:colOff>342900</xdr:colOff>
      <xdr:row>11</xdr:row>
      <xdr:rowOff>0</xdr:rowOff>
    </xdr:from>
    <xdr:to>
      <xdr:col>2</xdr:col>
      <xdr:colOff>581025</xdr:colOff>
      <xdr:row>13</xdr:row>
      <xdr:rowOff>85725</xdr:rowOff>
    </xdr:to>
    <xdr:pic>
      <xdr:nvPicPr>
        <xdr:cNvPr id="9" name="Picture 9" descr="E2"/>
        <xdr:cNvPicPr preferRelativeResize="1">
          <a:picLocks noChangeAspect="1"/>
        </xdr:cNvPicPr>
      </xdr:nvPicPr>
      <xdr:blipFill>
        <a:blip r:link="rId4"/>
        <a:stretch>
          <a:fillRect/>
        </a:stretch>
      </xdr:blipFill>
      <xdr:spPr>
        <a:xfrm>
          <a:off x="1704975" y="1819275"/>
          <a:ext cx="238125" cy="409575"/>
        </a:xfrm>
        <a:prstGeom prst="rect">
          <a:avLst/>
        </a:prstGeom>
        <a:noFill/>
        <a:ln w="9525" cmpd="sng">
          <a:noFill/>
        </a:ln>
      </xdr:spPr>
    </xdr:pic>
    <xdr:clientData/>
  </xdr:twoCellAnchor>
  <xdr:twoCellAnchor>
    <xdr:from>
      <xdr:col>3</xdr:col>
      <xdr:colOff>276225</xdr:colOff>
      <xdr:row>11</xdr:row>
      <xdr:rowOff>0</xdr:rowOff>
    </xdr:from>
    <xdr:to>
      <xdr:col>4</xdr:col>
      <xdr:colOff>0</xdr:colOff>
      <xdr:row>13</xdr:row>
      <xdr:rowOff>57150</xdr:rowOff>
    </xdr:to>
    <xdr:pic>
      <xdr:nvPicPr>
        <xdr:cNvPr id="10" name="Picture 10" descr="F1"/>
        <xdr:cNvPicPr preferRelativeResize="1">
          <a:picLocks noChangeAspect="1"/>
        </xdr:cNvPicPr>
      </xdr:nvPicPr>
      <xdr:blipFill>
        <a:blip r:link="rId7"/>
        <a:stretch>
          <a:fillRect/>
        </a:stretch>
      </xdr:blipFill>
      <xdr:spPr>
        <a:xfrm>
          <a:off x="2219325" y="1819275"/>
          <a:ext cx="304800" cy="381000"/>
        </a:xfrm>
        <a:prstGeom prst="rect">
          <a:avLst/>
        </a:prstGeom>
        <a:noFill/>
        <a:ln w="9525" cmpd="sng">
          <a:noFill/>
        </a:ln>
      </xdr:spPr>
    </xdr:pic>
    <xdr:clientData/>
  </xdr:twoCellAnchor>
  <xdr:twoCellAnchor>
    <xdr:from>
      <xdr:col>4</xdr:col>
      <xdr:colOff>276225</xdr:colOff>
      <xdr:row>11</xdr:row>
      <xdr:rowOff>0</xdr:rowOff>
    </xdr:from>
    <xdr:to>
      <xdr:col>5</xdr:col>
      <xdr:colOff>0</xdr:colOff>
      <xdr:row>13</xdr:row>
      <xdr:rowOff>47625</xdr:rowOff>
    </xdr:to>
    <xdr:pic>
      <xdr:nvPicPr>
        <xdr:cNvPr id="11" name="Picture 11" descr="F2"/>
        <xdr:cNvPicPr preferRelativeResize="1">
          <a:picLocks noChangeAspect="1"/>
        </xdr:cNvPicPr>
      </xdr:nvPicPr>
      <xdr:blipFill>
        <a:blip r:link="rId10"/>
        <a:stretch>
          <a:fillRect/>
        </a:stretch>
      </xdr:blipFill>
      <xdr:spPr>
        <a:xfrm>
          <a:off x="2800350" y="1819275"/>
          <a:ext cx="304800" cy="371475"/>
        </a:xfrm>
        <a:prstGeom prst="rect">
          <a:avLst/>
        </a:prstGeom>
        <a:noFill/>
        <a:ln w="9525" cmpd="sng">
          <a:noFill/>
        </a:ln>
      </xdr:spPr>
    </xdr:pic>
    <xdr:clientData/>
  </xdr:twoCellAnchor>
  <xdr:twoCellAnchor>
    <xdr:from>
      <xdr:col>5</xdr:col>
      <xdr:colOff>247650</xdr:colOff>
      <xdr:row>11</xdr:row>
      <xdr:rowOff>0</xdr:rowOff>
    </xdr:from>
    <xdr:to>
      <xdr:col>6</xdr:col>
      <xdr:colOff>0</xdr:colOff>
      <xdr:row>13</xdr:row>
      <xdr:rowOff>47625</xdr:rowOff>
    </xdr:to>
    <xdr:pic>
      <xdr:nvPicPr>
        <xdr:cNvPr id="12" name="Picture 12" descr="M1"/>
        <xdr:cNvPicPr preferRelativeResize="1">
          <a:picLocks noChangeAspect="1"/>
        </xdr:cNvPicPr>
      </xdr:nvPicPr>
      <xdr:blipFill>
        <a:blip r:link="rId13"/>
        <a:stretch>
          <a:fillRect/>
        </a:stretch>
      </xdr:blipFill>
      <xdr:spPr>
        <a:xfrm>
          <a:off x="3352800" y="1819275"/>
          <a:ext cx="333375" cy="371475"/>
        </a:xfrm>
        <a:prstGeom prst="rect">
          <a:avLst/>
        </a:prstGeom>
        <a:noFill/>
        <a:ln w="9525" cmpd="sng">
          <a:noFill/>
        </a:ln>
      </xdr:spPr>
    </xdr:pic>
    <xdr:clientData/>
  </xdr:twoCellAnchor>
  <xdr:twoCellAnchor>
    <xdr:from>
      <xdr:col>6</xdr:col>
      <xdr:colOff>266700</xdr:colOff>
      <xdr:row>11</xdr:row>
      <xdr:rowOff>0</xdr:rowOff>
    </xdr:from>
    <xdr:to>
      <xdr:col>7</xdr:col>
      <xdr:colOff>0</xdr:colOff>
      <xdr:row>13</xdr:row>
      <xdr:rowOff>47625</xdr:rowOff>
    </xdr:to>
    <xdr:pic>
      <xdr:nvPicPr>
        <xdr:cNvPr id="13" name="Picture 13" descr="M2"/>
        <xdr:cNvPicPr preferRelativeResize="1">
          <a:picLocks noChangeAspect="1"/>
        </xdr:cNvPicPr>
      </xdr:nvPicPr>
      <xdr:blipFill>
        <a:blip r:link="rId16"/>
        <a:stretch>
          <a:fillRect/>
        </a:stretch>
      </xdr:blipFill>
      <xdr:spPr>
        <a:xfrm>
          <a:off x="3952875" y="1819275"/>
          <a:ext cx="314325" cy="371475"/>
        </a:xfrm>
        <a:prstGeom prst="rect">
          <a:avLst/>
        </a:prstGeom>
        <a:noFill/>
        <a:ln w="9525" cmpd="sng">
          <a:noFill/>
        </a:ln>
      </xdr:spPr>
    </xdr:pic>
    <xdr:clientData/>
  </xdr:twoCellAnchor>
  <xdr:twoCellAnchor>
    <xdr:from>
      <xdr:col>7</xdr:col>
      <xdr:colOff>266700</xdr:colOff>
      <xdr:row>11</xdr:row>
      <xdr:rowOff>0</xdr:rowOff>
    </xdr:from>
    <xdr:to>
      <xdr:col>8</xdr:col>
      <xdr:colOff>0</xdr:colOff>
      <xdr:row>13</xdr:row>
      <xdr:rowOff>47625</xdr:rowOff>
    </xdr:to>
    <xdr:pic>
      <xdr:nvPicPr>
        <xdr:cNvPr id="14" name="Picture 14" descr="M3"/>
        <xdr:cNvPicPr preferRelativeResize="1">
          <a:picLocks noChangeAspect="1"/>
        </xdr:cNvPicPr>
      </xdr:nvPicPr>
      <xdr:blipFill>
        <a:blip r:link="rId19"/>
        <a:stretch>
          <a:fillRect/>
        </a:stretch>
      </xdr:blipFill>
      <xdr:spPr>
        <a:xfrm>
          <a:off x="4533900" y="1819275"/>
          <a:ext cx="31432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_Abt\A\_Hamburg\Archiv\VEH_bis_12-2010\Listen\L-39%20_%20Toleranzanforderungen%20-%20PM&#220;-Analysenwaag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2_Erz_HH\_Daten\18_Akkreditierung_Chemie\Rechenbl&#228;tter\Mandel-Test_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pcsunas01.prod.ads.vpc-group.biz\Homeshares$\5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5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_Abt\A\_Hamburg\VEH_bis_12-2010\Rechenbl&#228;tter\Mandel-Test_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isblatt (backup)"/>
      <sheetName val="SammlungDKD-Kalibrierfunktion"/>
      <sheetName val="DKD-Kalibrierfunktionen (2007)"/>
      <sheetName val="SammlungDKD-Kalibrierfunktionen"/>
      <sheetName val="Fehlergrenzklassen-Massestücke"/>
      <sheetName val="Basisblatt"/>
      <sheetName val="WT-Waage 01"/>
      <sheetName val="WT-Waage 02"/>
      <sheetName val="WT-Waage 03"/>
      <sheetName val="WT-Waage 04"/>
      <sheetName val="WT-Waage 05"/>
      <sheetName val="WT-Restfeuchte 01"/>
      <sheetName val="WT-Restfeuchte 02"/>
      <sheetName val="WW-Waage 01"/>
      <sheetName val="WW-Waage 02"/>
      <sheetName val="WW-Waage 03"/>
      <sheetName val="WW-Waage 04"/>
      <sheetName val="WW-Waage 05"/>
      <sheetName val="WW-Waage 06"/>
      <sheetName val="WW-Waage 07"/>
      <sheetName val="WW-Waage 08"/>
      <sheetName val="WW-Waage GC1"/>
      <sheetName val="WW-Waage GC2"/>
      <sheetName val="WW-Waage 50"/>
      <sheetName val="WW-Waage 51"/>
      <sheetName val="WW-Waage 52"/>
      <sheetName val="WW-Waage 53"/>
      <sheetName val="WW-Waage 54"/>
      <sheetName val="WW-Waage 55"/>
      <sheetName val="WW-Waage 56"/>
      <sheetName val="WW-Waage 57"/>
      <sheetName val="WW-Feuchte 01"/>
      <sheetName val="WW-Feuchte 02"/>
      <sheetName val="WW-Feuchte 03"/>
      <sheetName val="WW-Feuchte 04"/>
      <sheetName val="Rechenblat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Arbeitsbereich"/>
      <sheetName val="Grubbs"/>
      <sheetName val="Varianzenhomogenität"/>
      <sheetName val="Linearitätstest-LA"/>
    </sheetNames>
    <sheetDataSet>
      <sheetData sheetId="1">
        <row r="10">
          <cell r="C10">
            <v>5</v>
          </cell>
          <cell r="D10">
            <v>9</v>
          </cell>
        </row>
        <row r="11">
          <cell r="C11">
            <v>4</v>
          </cell>
          <cell r="D11">
            <v>7</v>
          </cell>
        </row>
        <row r="12">
          <cell r="C12">
            <v>5</v>
          </cell>
          <cell r="D12">
            <v>8</v>
          </cell>
        </row>
        <row r="13">
          <cell r="C13">
            <v>5</v>
          </cell>
          <cell r="D13">
            <v>8</v>
          </cell>
        </row>
        <row r="14">
          <cell r="C14">
            <v>6</v>
          </cell>
          <cell r="D14">
            <v>7</v>
          </cell>
        </row>
        <row r="15">
          <cell r="C15">
            <v>6</v>
          </cell>
          <cell r="D15">
            <v>8</v>
          </cell>
        </row>
        <row r="16">
          <cell r="C16">
            <v>4</v>
          </cell>
          <cell r="D16">
            <v>9</v>
          </cell>
        </row>
        <row r="17">
          <cell r="C17">
            <v>5</v>
          </cell>
          <cell r="D17">
            <v>8</v>
          </cell>
        </row>
        <row r="18">
          <cell r="C18">
            <v>5</v>
          </cell>
          <cell r="D18">
            <v>8</v>
          </cell>
        </row>
        <row r="19">
          <cell r="C19">
            <v>5</v>
          </cell>
          <cell r="D19">
            <v>9</v>
          </cell>
        </row>
        <row r="22">
          <cell r="C22" t="str">
            <v>****</v>
          </cell>
        </row>
      </sheetData>
      <sheetData sheetId="2">
        <row r="7">
          <cell r="D7">
            <v>0.4444444444444444</v>
          </cell>
          <cell r="E7">
            <v>0.544444444444442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Arbeitsbereich"/>
      <sheetName val="Grubbs"/>
      <sheetName val="Varianzenhomogenität"/>
      <sheetName val="Linearitätstest-LA"/>
    </sheetNames>
    <sheetDataSet>
      <sheetData sheetId="1">
        <row r="10">
          <cell r="C10">
            <v>5</v>
          </cell>
          <cell r="D10">
            <v>9</v>
          </cell>
        </row>
        <row r="11">
          <cell r="C11">
            <v>4</v>
          </cell>
          <cell r="D11">
            <v>7</v>
          </cell>
        </row>
        <row r="12">
          <cell r="C12">
            <v>5</v>
          </cell>
          <cell r="D12">
            <v>8</v>
          </cell>
        </row>
        <row r="13">
          <cell r="C13">
            <v>5</v>
          </cell>
          <cell r="D13">
            <v>8</v>
          </cell>
        </row>
        <row r="14">
          <cell r="C14">
            <v>6</v>
          </cell>
          <cell r="D14">
            <v>7</v>
          </cell>
        </row>
        <row r="15">
          <cell r="C15">
            <v>6</v>
          </cell>
          <cell r="D15">
            <v>8</v>
          </cell>
        </row>
        <row r="16">
          <cell r="C16">
            <v>4</v>
          </cell>
          <cell r="D16">
            <v>9</v>
          </cell>
        </row>
        <row r="17">
          <cell r="C17">
            <v>5</v>
          </cell>
          <cell r="D17">
            <v>8</v>
          </cell>
        </row>
        <row r="18">
          <cell r="C18">
            <v>5</v>
          </cell>
          <cell r="D18">
            <v>8</v>
          </cell>
        </row>
        <row r="19">
          <cell r="C19">
            <v>5</v>
          </cell>
          <cell r="D19">
            <v>9</v>
          </cell>
        </row>
        <row r="22">
          <cell r="C22" t="str">
            <v>****</v>
          </cell>
        </row>
      </sheetData>
      <sheetData sheetId="2">
        <row r="7">
          <cell r="D7">
            <v>0.4444444444444444</v>
          </cell>
          <cell r="E7">
            <v>0.544444444444442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rs-alpers@gmx.de" TargetMode="Externa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M18"/>
  <sheetViews>
    <sheetView tabSelected="1" zoomScalePageLayoutView="0" workbookViewId="0" topLeftCell="A1">
      <selection activeCell="A1" sqref="A1"/>
    </sheetView>
  </sheetViews>
  <sheetFormatPr defaultColWidth="11.57421875" defaultRowHeight="12.75"/>
  <cols>
    <col min="1" max="16384" width="11.57421875" style="323" customWidth="1"/>
  </cols>
  <sheetData>
    <row r="1" spans="1:13" ht="12.75">
      <c r="A1" s="322"/>
      <c r="B1" s="322"/>
      <c r="C1" s="322"/>
      <c r="D1" s="322"/>
      <c r="E1" s="322"/>
      <c r="F1" s="322"/>
      <c r="G1" s="322"/>
      <c r="H1" s="322"/>
      <c r="I1" s="322"/>
      <c r="J1" s="322"/>
      <c r="K1" s="322"/>
      <c r="L1" s="322"/>
      <c r="M1" s="322"/>
    </row>
    <row r="2" spans="1:13" ht="12.75">
      <c r="A2" s="322"/>
      <c r="B2" s="322"/>
      <c r="C2" s="322"/>
      <c r="D2" s="322"/>
      <c r="E2" s="322"/>
      <c r="F2" s="322"/>
      <c r="G2" s="322"/>
      <c r="H2" s="322"/>
      <c r="I2" s="322"/>
      <c r="J2" s="322"/>
      <c r="K2" s="322"/>
      <c r="L2" s="322"/>
      <c r="M2" s="322"/>
    </row>
    <row r="3" spans="1:13" ht="12.75">
      <c r="A3" s="322"/>
      <c r="B3" s="322"/>
      <c r="C3" s="322"/>
      <c r="D3" s="322"/>
      <c r="E3" s="322"/>
      <c r="F3" s="322"/>
      <c r="G3" s="322"/>
      <c r="H3" s="322"/>
      <c r="I3" s="322"/>
      <c r="J3" s="322"/>
      <c r="K3" s="322"/>
      <c r="L3" s="322"/>
      <c r="M3" s="322"/>
    </row>
    <row r="4" spans="1:13" ht="12.75">
      <c r="A4" s="322"/>
      <c r="B4" s="322"/>
      <c r="C4" s="322"/>
      <c r="D4" s="322"/>
      <c r="E4" s="322"/>
      <c r="F4" s="322"/>
      <c r="G4" s="322"/>
      <c r="H4" s="322"/>
      <c r="I4" s="322"/>
      <c r="J4" s="322"/>
      <c r="K4" s="322"/>
      <c r="L4" s="322"/>
      <c r="M4" s="322"/>
    </row>
    <row r="5" spans="1:13" ht="12.75">
      <c r="A5" s="322"/>
      <c r="B5" s="322"/>
      <c r="C5" s="322"/>
      <c r="D5" s="322"/>
      <c r="E5" s="322"/>
      <c r="F5" s="322"/>
      <c r="G5" s="322"/>
      <c r="H5" s="322"/>
      <c r="I5" s="322"/>
      <c r="J5" s="322"/>
      <c r="K5" s="322"/>
      <c r="L5" s="322"/>
      <c r="M5" s="322"/>
    </row>
    <row r="6" spans="1:13" ht="12.75">
      <c r="A6" s="322"/>
      <c r="B6" s="322"/>
      <c r="C6" s="322"/>
      <c r="D6" s="322"/>
      <c r="E6" s="322"/>
      <c r="F6" s="322"/>
      <c r="G6" s="322"/>
      <c r="H6" s="322"/>
      <c r="I6" s="322"/>
      <c r="J6" s="322"/>
      <c r="K6" s="322"/>
      <c r="L6" s="322"/>
      <c r="M6" s="322"/>
    </row>
    <row r="7" spans="1:13" ht="12.75">
      <c r="A7" s="322"/>
      <c r="B7" s="322"/>
      <c r="C7" s="322"/>
      <c r="D7" s="322"/>
      <c r="E7" s="322"/>
      <c r="F7" s="322"/>
      <c r="G7" s="322"/>
      <c r="H7" s="322"/>
      <c r="I7" s="322"/>
      <c r="J7" s="322"/>
      <c r="K7" s="322"/>
      <c r="L7" s="322"/>
      <c r="M7" s="322"/>
    </row>
    <row r="8" spans="1:13" ht="12.75">
      <c r="A8" s="322"/>
      <c r="B8" s="322"/>
      <c r="C8" s="322"/>
      <c r="D8" s="322"/>
      <c r="E8" s="322"/>
      <c r="F8" s="322"/>
      <c r="G8" s="322"/>
      <c r="H8" s="322"/>
      <c r="I8" s="322"/>
      <c r="J8" s="322"/>
      <c r="K8" s="322"/>
      <c r="L8" s="322"/>
      <c r="M8" s="322"/>
    </row>
    <row r="9" spans="1:13" ht="12.75">
      <c r="A9" s="322"/>
      <c r="B9" s="322"/>
      <c r="C9" s="322"/>
      <c r="D9" s="322"/>
      <c r="E9" s="322"/>
      <c r="F9" s="322"/>
      <c r="G9" s="322"/>
      <c r="H9" s="322"/>
      <c r="I9" s="322"/>
      <c r="J9" s="322"/>
      <c r="K9" s="322"/>
      <c r="L9" s="322"/>
      <c r="M9" s="322"/>
    </row>
    <row r="10" spans="1:13" ht="12.75">
      <c r="A10" s="322"/>
      <c r="B10" s="322"/>
      <c r="C10" s="322"/>
      <c r="D10" s="322"/>
      <c r="E10" s="322"/>
      <c r="F10" s="322"/>
      <c r="G10" s="322"/>
      <c r="H10" s="322"/>
      <c r="I10" s="322"/>
      <c r="J10" s="322"/>
      <c r="K10" s="322"/>
      <c r="L10" s="322"/>
      <c r="M10" s="322"/>
    </row>
    <row r="11" spans="1:13" ht="18">
      <c r="A11" s="322"/>
      <c r="B11" s="324" t="s">
        <v>392</v>
      </c>
      <c r="C11" s="322"/>
      <c r="D11" s="325" t="s">
        <v>393</v>
      </c>
      <c r="E11" s="322"/>
      <c r="F11" s="322"/>
      <c r="G11" s="322"/>
      <c r="H11" s="322"/>
      <c r="I11" s="322"/>
      <c r="J11" s="322"/>
      <c r="K11" s="322"/>
      <c r="L11" s="322"/>
      <c r="M11" s="322"/>
    </row>
    <row r="12" spans="1:13" ht="12.75">
      <c r="A12" s="322"/>
      <c r="B12" s="322"/>
      <c r="C12" s="322"/>
      <c r="D12" s="322"/>
      <c r="E12" s="322"/>
      <c r="F12" s="322"/>
      <c r="G12" s="322"/>
      <c r="H12" s="322"/>
      <c r="I12" s="322"/>
      <c r="J12" s="322"/>
      <c r="K12" s="322"/>
      <c r="L12" s="322"/>
      <c r="M12" s="322"/>
    </row>
    <row r="13" spans="1:13" ht="18">
      <c r="A13" s="322"/>
      <c r="B13" s="435" t="s">
        <v>394</v>
      </c>
      <c r="C13" s="435"/>
      <c r="D13" s="435"/>
      <c r="E13" s="435"/>
      <c r="F13" s="435"/>
      <c r="G13" s="435"/>
      <c r="H13" s="435"/>
      <c r="I13" s="435"/>
      <c r="J13" s="435"/>
      <c r="K13" s="435"/>
      <c r="L13" s="435"/>
      <c r="M13" s="435"/>
    </row>
    <row r="14" spans="1:13" ht="14.25">
      <c r="A14" s="322"/>
      <c r="B14" s="436" t="s">
        <v>395</v>
      </c>
      <c r="C14" s="436"/>
      <c r="D14" s="436"/>
      <c r="E14" s="436"/>
      <c r="F14" s="436"/>
      <c r="G14" s="436"/>
      <c r="H14" s="436"/>
      <c r="I14" s="436"/>
      <c r="J14" s="436"/>
      <c r="K14" s="436"/>
      <c r="L14" s="436"/>
      <c r="M14" s="436"/>
    </row>
    <row r="15" spans="1:13" ht="12.75">
      <c r="A15" s="322"/>
      <c r="B15" s="322"/>
      <c r="C15" s="322"/>
      <c r="D15" s="322"/>
      <c r="E15" s="322"/>
      <c r="F15" s="322"/>
      <c r="G15" s="322"/>
      <c r="H15" s="322"/>
      <c r="I15" s="322"/>
      <c r="J15" s="322"/>
      <c r="K15" s="322"/>
      <c r="L15" s="322"/>
      <c r="M15" s="322"/>
    </row>
    <row r="16" spans="1:13" ht="12.75">
      <c r="A16" s="322"/>
      <c r="B16" s="326" t="s">
        <v>396</v>
      </c>
      <c r="C16" s="322" t="s">
        <v>397</v>
      </c>
      <c r="D16" s="327"/>
      <c r="E16" s="327"/>
      <c r="F16" s="327"/>
      <c r="G16" s="327"/>
      <c r="H16" s="327"/>
      <c r="I16" s="327"/>
      <c r="J16" s="327"/>
      <c r="K16" s="327"/>
      <c r="L16" s="327"/>
      <c r="M16" s="327"/>
    </row>
    <row r="17" spans="1:13" ht="12.75">
      <c r="A17" s="322"/>
      <c r="C17" s="322" t="s">
        <v>398</v>
      </c>
      <c r="D17" s="322"/>
      <c r="E17" s="322"/>
      <c r="F17" s="322"/>
      <c r="G17" s="322"/>
      <c r="H17" s="322"/>
      <c r="I17" s="322"/>
      <c r="J17" s="322"/>
      <c r="K17" s="322"/>
      <c r="L17" s="322"/>
      <c r="M17" s="322"/>
    </row>
    <row r="18" spans="1:13" ht="12.75">
      <c r="A18" s="322"/>
      <c r="B18" s="322"/>
      <c r="C18" s="322"/>
      <c r="D18" s="322"/>
      <c r="E18" s="322"/>
      <c r="F18" s="322"/>
      <c r="G18" s="322"/>
      <c r="H18" s="322"/>
      <c r="I18" s="322"/>
      <c r="J18" s="322"/>
      <c r="K18" s="322"/>
      <c r="L18" s="322"/>
      <c r="M18" s="322"/>
    </row>
  </sheetData>
  <sheetProtection sheet="1" objects="1" scenarios="1"/>
  <mergeCells count="2">
    <mergeCell ref="B13:M13"/>
    <mergeCell ref="B14:M14"/>
  </mergeCells>
  <hyperlinks>
    <hyperlink ref="D11" r:id="rId1" display="lars-alpers@gmx.de"/>
  </hyperlinks>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2:P32"/>
  <sheetViews>
    <sheetView zoomScalePageLayoutView="0" workbookViewId="0" topLeftCell="A1">
      <selection activeCell="C5" sqref="C5:C6"/>
    </sheetView>
  </sheetViews>
  <sheetFormatPr defaultColWidth="11.57421875" defaultRowHeight="12.75"/>
  <cols>
    <col min="1" max="1" width="18.7109375" style="11" customWidth="1"/>
    <col min="2" max="2" width="5.140625" style="11" bestFit="1" customWidth="1"/>
    <col min="3" max="10" width="13.7109375" style="11" customWidth="1"/>
    <col min="11" max="11" width="11.7109375" style="11" customWidth="1"/>
    <col min="12" max="12" width="2.7109375" style="11" customWidth="1"/>
    <col min="13" max="13" width="11.57421875" style="11" customWidth="1"/>
    <col min="14" max="14" width="2.00390625" style="11" bestFit="1" customWidth="1"/>
    <col min="15" max="15" width="11.57421875" style="11" customWidth="1"/>
    <col min="16" max="16" width="1.7109375" style="11" customWidth="1"/>
    <col min="17" max="16384" width="11.57421875" style="11" customWidth="1"/>
  </cols>
  <sheetData>
    <row r="1" ht="36" customHeight="1" thickBot="1"/>
    <row r="2" spans="1:12" ht="6" customHeight="1">
      <c r="A2" s="234"/>
      <c r="B2" s="235"/>
      <c r="C2" s="235"/>
      <c r="D2" s="235"/>
      <c r="E2" s="235"/>
      <c r="F2" s="235"/>
      <c r="G2" s="235"/>
      <c r="H2" s="235"/>
      <c r="I2" s="235"/>
      <c r="J2" s="235"/>
      <c r="K2" s="235"/>
      <c r="L2" s="236"/>
    </row>
    <row r="3" spans="1:12" ht="12.75">
      <c r="A3" s="237" t="s">
        <v>235</v>
      </c>
      <c r="B3" s="98"/>
      <c r="C3" s="98"/>
      <c r="D3" s="98"/>
      <c r="E3" s="98"/>
      <c r="F3" s="98"/>
      <c r="G3" s="98"/>
      <c r="H3" s="98"/>
      <c r="I3" s="98"/>
      <c r="J3" s="98"/>
      <c r="K3" s="98"/>
      <c r="L3" s="238"/>
    </row>
    <row r="4" spans="1:12" ht="6" customHeight="1">
      <c r="A4" s="237"/>
      <c r="B4" s="98"/>
      <c r="C4" s="98"/>
      <c r="D4" s="98"/>
      <c r="E4" s="98"/>
      <c r="F4" s="98"/>
      <c r="G4" s="98"/>
      <c r="H4" s="98"/>
      <c r="I4" s="98"/>
      <c r="J4" s="98"/>
      <c r="K4" s="98"/>
      <c r="L4" s="238"/>
    </row>
    <row r="5" spans="1:12" ht="12.75">
      <c r="A5" s="239" t="s">
        <v>238</v>
      </c>
      <c r="B5" s="98" t="s">
        <v>4</v>
      </c>
      <c r="C5" s="240">
        <v>100000</v>
      </c>
      <c r="D5" s="98"/>
      <c r="E5" s="98"/>
      <c r="F5" s="98"/>
      <c r="G5" s="98"/>
      <c r="H5" s="98"/>
      <c r="I5" s="98"/>
      <c r="J5" s="98"/>
      <c r="K5" s="98"/>
      <c r="L5" s="238"/>
    </row>
    <row r="6" spans="1:12" ht="13.5" thickBot="1">
      <c r="A6" s="239" t="s">
        <v>237</v>
      </c>
      <c r="B6" s="98" t="s">
        <v>236</v>
      </c>
      <c r="C6" s="270">
        <v>0.1</v>
      </c>
      <c r="D6" s="14"/>
      <c r="E6" s="14"/>
      <c r="F6" s="14"/>
      <c r="G6" s="14"/>
      <c r="H6" s="14"/>
      <c r="I6" s="14"/>
      <c r="J6" s="98"/>
      <c r="K6" s="98"/>
      <c r="L6" s="238"/>
    </row>
    <row r="7" spans="1:16" ht="12.75">
      <c r="A7" s="265" t="s">
        <v>58</v>
      </c>
      <c r="B7" s="266" t="s">
        <v>4</v>
      </c>
      <c r="C7" s="267" t="s">
        <v>5</v>
      </c>
      <c r="D7" s="267" t="s">
        <v>6</v>
      </c>
      <c r="E7" s="267" t="s">
        <v>7</v>
      </c>
      <c r="F7" s="267" t="s">
        <v>8</v>
      </c>
      <c r="G7" s="267" t="s">
        <v>9</v>
      </c>
      <c r="H7" s="267" t="s">
        <v>10</v>
      </c>
      <c r="I7" s="267" t="s">
        <v>11</v>
      </c>
      <c r="J7" s="267" t="s">
        <v>241</v>
      </c>
      <c r="K7" s="241"/>
      <c r="L7" s="148"/>
      <c r="M7" s="235"/>
      <c r="N7" s="235"/>
      <c r="O7" s="235"/>
      <c r="P7" s="236"/>
    </row>
    <row r="8" spans="1:16" ht="12.75">
      <c r="A8" s="242" t="s">
        <v>12</v>
      </c>
      <c r="B8" s="220" t="s">
        <v>4</v>
      </c>
      <c r="C8" s="146">
        <v>0.005</v>
      </c>
      <c r="D8" s="146">
        <v>0.05</v>
      </c>
      <c r="E8" s="146">
        <v>0.5</v>
      </c>
      <c r="F8" s="146">
        <v>5</v>
      </c>
      <c r="G8" s="146">
        <v>50</v>
      </c>
      <c r="H8" s="146">
        <v>500</v>
      </c>
      <c r="I8" s="146">
        <v>5000</v>
      </c>
      <c r="J8" s="146">
        <v>50000</v>
      </c>
      <c r="K8" s="54"/>
      <c r="L8" s="148"/>
      <c r="M8" s="243" t="s">
        <v>207</v>
      </c>
      <c r="N8" s="98"/>
      <c r="O8" s="98"/>
      <c r="P8" s="238"/>
    </row>
    <row r="9" spans="1:16" ht="12.75">
      <c r="A9" s="242" t="s">
        <v>59</v>
      </c>
      <c r="B9" s="220" t="s">
        <v>37</v>
      </c>
      <c r="C9" s="146">
        <v>0.06</v>
      </c>
      <c r="D9" s="146">
        <v>0.12</v>
      </c>
      <c r="E9" s="146">
        <v>0.25</v>
      </c>
      <c r="F9" s="146">
        <v>0.5</v>
      </c>
      <c r="G9" s="292">
        <v>1</v>
      </c>
      <c r="H9" s="146">
        <v>7.5</v>
      </c>
      <c r="I9" s="146">
        <v>75</v>
      </c>
      <c r="J9" s="146">
        <v>750</v>
      </c>
      <c r="K9" s="244" t="s">
        <v>330</v>
      </c>
      <c r="L9" s="98"/>
      <c r="M9" s="422" t="s">
        <v>209</v>
      </c>
      <c r="N9" s="423" t="s">
        <v>4</v>
      </c>
      <c r="O9" s="424">
        <v>50000</v>
      </c>
      <c r="P9" s="238"/>
    </row>
    <row r="10" spans="1:16" ht="12.75">
      <c r="A10" s="245" t="s">
        <v>29</v>
      </c>
      <c r="B10" s="224" t="s">
        <v>4</v>
      </c>
      <c r="C10" s="246">
        <v>0.0051</v>
      </c>
      <c r="D10" s="247">
        <v>0.0501</v>
      </c>
      <c r="E10" s="247">
        <v>0.5001</v>
      </c>
      <c r="F10" s="247">
        <v>5.0001</v>
      </c>
      <c r="G10" s="247">
        <v>50.0001</v>
      </c>
      <c r="H10" s="247">
        <v>500.0011</v>
      </c>
      <c r="I10" s="247">
        <v>5000.0101</v>
      </c>
      <c r="J10" s="247">
        <v>50000.1001</v>
      </c>
      <c r="K10" s="248"/>
      <c r="L10" s="98"/>
      <c r="M10" s="249" t="s">
        <v>20</v>
      </c>
      <c r="N10" s="250" t="s">
        <v>4</v>
      </c>
      <c r="O10" s="246">
        <v>50000.1001</v>
      </c>
      <c r="P10" s="238"/>
    </row>
    <row r="11" spans="1:16" ht="12.75">
      <c r="A11" s="251" t="s">
        <v>30</v>
      </c>
      <c r="B11" s="226" t="s">
        <v>4</v>
      </c>
      <c r="C11" s="252">
        <v>0.0051</v>
      </c>
      <c r="D11" s="253">
        <v>0.0501</v>
      </c>
      <c r="E11" s="253">
        <v>0.5001</v>
      </c>
      <c r="F11" s="253">
        <v>5.0001</v>
      </c>
      <c r="G11" s="253">
        <v>50.0001</v>
      </c>
      <c r="H11" s="253">
        <v>500.0011</v>
      </c>
      <c r="I11" s="253">
        <v>5000.0101</v>
      </c>
      <c r="J11" s="253">
        <v>50000.1001</v>
      </c>
      <c r="K11" s="254"/>
      <c r="L11" s="98"/>
      <c r="M11" s="148" t="s">
        <v>21</v>
      </c>
      <c r="N11" s="255" t="s">
        <v>4</v>
      </c>
      <c r="O11" s="252">
        <v>50000.1005</v>
      </c>
      <c r="P11" s="238"/>
    </row>
    <row r="12" spans="1:16" ht="12.75">
      <c r="A12" s="251" t="s">
        <v>31</v>
      </c>
      <c r="B12" s="226" t="s">
        <v>4</v>
      </c>
      <c r="C12" s="252">
        <v>0.0051</v>
      </c>
      <c r="D12" s="253">
        <v>0.0501</v>
      </c>
      <c r="E12" s="253">
        <v>0.5001</v>
      </c>
      <c r="F12" s="253">
        <v>5.0001</v>
      </c>
      <c r="G12" s="253">
        <v>50.0001</v>
      </c>
      <c r="H12" s="253">
        <v>500.0011</v>
      </c>
      <c r="I12" s="253">
        <v>5000.0101</v>
      </c>
      <c r="J12" s="253">
        <v>50000.1001</v>
      </c>
      <c r="K12" s="248"/>
      <c r="L12" s="98"/>
      <c r="M12" s="148" t="s">
        <v>22</v>
      </c>
      <c r="N12" s="255" t="s">
        <v>4</v>
      </c>
      <c r="O12" s="252">
        <v>50000.1002</v>
      </c>
      <c r="P12" s="238"/>
    </row>
    <row r="13" spans="1:16" ht="12.75">
      <c r="A13" s="251" t="s">
        <v>32</v>
      </c>
      <c r="B13" s="226" t="s">
        <v>4</v>
      </c>
      <c r="C13" s="252">
        <v>0.0051</v>
      </c>
      <c r="D13" s="253">
        <v>0.0501</v>
      </c>
      <c r="E13" s="253">
        <v>0.5005</v>
      </c>
      <c r="F13" s="253">
        <v>5.0005</v>
      </c>
      <c r="G13" s="253">
        <v>50.00011</v>
      </c>
      <c r="H13" s="253">
        <v>500.0011</v>
      </c>
      <c r="I13" s="253">
        <v>5000.0101</v>
      </c>
      <c r="J13" s="253">
        <v>50000.1001</v>
      </c>
      <c r="K13" s="254"/>
      <c r="L13" s="98"/>
      <c r="M13" s="148" t="s">
        <v>24</v>
      </c>
      <c r="N13" s="255" t="s">
        <v>4</v>
      </c>
      <c r="O13" s="252">
        <v>50000.1001</v>
      </c>
      <c r="P13" s="238"/>
    </row>
    <row r="14" spans="1:16" ht="12.75">
      <c r="A14" s="256" t="s">
        <v>33</v>
      </c>
      <c r="B14" s="228" t="s">
        <v>4</v>
      </c>
      <c r="C14" s="257">
        <v>0.0052</v>
      </c>
      <c r="D14" s="258">
        <v>0.0505</v>
      </c>
      <c r="E14" s="258">
        <v>0.5005</v>
      </c>
      <c r="F14" s="258">
        <v>5.0011</v>
      </c>
      <c r="G14" s="258">
        <v>50.0031</v>
      </c>
      <c r="H14" s="258">
        <v>500.0015</v>
      </c>
      <c r="I14" s="258">
        <v>5000.0105</v>
      </c>
      <c r="J14" s="258">
        <v>50000.1005</v>
      </c>
      <c r="K14" s="248"/>
      <c r="L14" s="98"/>
      <c r="M14" s="259" t="s">
        <v>23</v>
      </c>
      <c r="N14" s="260" t="s">
        <v>4</v>
      </c>
      <c r="O14" s="257">
        <v>50000.1003</v>
      </c>
      <c r="P14" s="238"/>
    </row>
    <row r="15" spans="1:16" ht="6" customHeight="1">
      <c r="A15" s="251"/>
      <c r="B15" s="229"/>
      <c r="C15" s="316"/>
      <c r="D15" s="316"/>
      <c r="E15" s="316"/>
      <c r="F15" s="316"/>
      <c r="G15" s="316"/>
      <c r="H15" s="316"/>
      <c r="I15" s="316"/>
      <c r="J15" s="316"/>
      <c r="K15" s="53"/>
      <c r="L15" s="98"/>
      <c r="M15" s="98"/>
      <c r="N15" s="98"/>
      <c r="O15" s="316"/>
      <c r="P15" s="238"/>
    </row>
    <row r="16" spans="1:16" ht="12.75">
      <c r="A16" s="186" t="s">
        <v>19</v>
      </c>
      <c r="B16" s="187"/>
      <c r="C16" s="425" t="s">
        <v>382</v>
      </c>
      <c r="D16" s="425" t="s">
        <v>382</v>
      </c>
      <c r="E16" s="425" t="s">
        <v>382</v>
      </c>
      <c r="F16" s="425" t="s">
        <v>382</v>
      </c>
      <c r="G16" s="425" t="s">
        <v>382</v>
      </c>
      <c r="H16" s="425" t="s">
        <v>382</v>
      </c>
      <c r="I16" s="425" t="s">
        <v>382</v>
      </c>
      <c r="J16" s="425" t="s">
        <v>382</v>
      </c>
      <c r="K16" s="53"/>
      <c r="L16" s="98"/>
      <c r="M16" s="98"/>
      <c r="N16" s="192" t="s">
        <v>25</v>
      </c>
      <c r="O16" s="193" t="s">
        <v>451</v>
      </c>
      <c r="P16" s="238"/>
    </row>
    <row r="17" spans="1:16" ht="6" customHeight="1" thickBot="1">
      <c r="A17" s="261"/>
      <c r="B17" s="262"/>
      <c r="C17" s="263"/>
      <c r="D17" s="263"/>
      <c r="E17" s="263"/>
      <c r="F17" s="263"/>
      <c r="G17" s="263"/>
      <c r="H17" s="263"/>
      <c r="I17" s="263"/>
      <c r="J17" s="262"/>
      <c r="K17" s="262"/>
      <c r="L17" s="262"/>
      <c r="M17" s="262"/>
      <c r="N17" s="262"/>
      <c r="O17" s="262"/>
      <c r="P17" s="264"/>
    </row>
    <row r="18" spans="5:9" ht="13.5" thickBot="1">
      <c r="E18" s="8"/>
      <c r="F18" s="8"/>
      <c r="G18" s="8"/>
      <c r="H18" s="8"/>
      <c r="I18" s="8"/>
    </row>
    <row r="19" spans="1:16" ht="25.5" customHeight="1">
      <c r="A19" s="314"/>
      <c r="B19" s="314"/>
      <c r="C19" s="314"/>
      <c r="D19" s="314"/>
      <c r="E19" s="315"/>
      <c r="F19" s="315"/>
      <c r="G19" s="315"/>
      <c r="H19" s="315"/>
      <c r="I19" s="315"/>
      <c r="J19" s="314"/>
      <c r="K19" s="314"/>
      <c r="L19" s="314"/>
      <c r="M19" s="314"/>
      <c r="N19" s="314"/>
      <c r="O19" s="314"/>
      <c r="P19" s="314"/>
    </row>
    <row r="20" spans="1:16" ht="25.5" customHeight="1">
      <c r="A20" s="426" t="s">
        <v>385</v>
      </c>
      <c r="B20" s="98"/>
      <c r="C20" s="98"/>
      <c r="D20" s="98"/>
      <c r="E20" s="14"/>
      <c r="F20" s="14"/>
      <c r="G20" s="14"/>
      <c r="H20" s="14"/>
      <c r="I20" s="14"/>
      <c r="J20" s="98"/>
      <c r="K20" s="98"/>
      <c r="L20" s="98"/>
      <c r="M20" s="98"/>
      <c r="N20" s="98"/>
      <c r="O20" s="98"/>
      <c r="P20" s="98"/>
    </row>
    <row r="21" spans="1:9" ht="12.75">
      <c r="A21" s="271" t="s">
        <v>381</v>
      </c>
      <c r="H21" s="8"/>
      <c r="I21" s="8"/>
    </row>
    <row r="22" spans="1:9" ht="12.75">
      <c r="A22" s="239" t="s">
        <v>238</v>
      </c>
      <c r="B22" s="98" t="s">
        <v>4</v>
      </c>
      <c r="C22" s="240">
        <v>1510</v>
      </c>
      <c r="G22" s="312" t="s">
        <v>387</v>
      </c>
      <c r="H22" s="8"/>
      <c r="I22" s="8"/>
    </row>
    <row r="23" spans="1:3" ht="12.75">
      <c r="A23" s="239" t="s">
        <v>237</v>
      </c>
      <c r="B23" s="98" t="s">
        <v>236</v>
      </c>
      <c r="C23" s="270">
        <v>100</v>
      </c>
    </row>
    <row r="24" spans="1:9" ht="12.75">
      <c r="A24" s="219" t="s">
        <v>28</v>
      </c>
      <c r="B24" s="220"/>
      <c r="C24" s="221" t="s">
        <v>35</v>
      </c>
      <c r="D24" s="221" t="s">
        <v>36</v>
      </c>
      <c r="E24" s="221" t="s">
        <v>56</v>
      </c>
      <c r="F24" s="221" t="s">
        <v>34</v>
      </c>
      <c r="G24" s="230" t="s">
        <v>85</v>
      </c>
      <c r="H24" s="231" t="s">
        <v>388</v>
      </c>
      <c r="I24" s="312" t="s">
        <v>389</v>
      </c>
    </row>
    <row r="25" spans="1:8" ht="12.75">
      <c r="A25" s="265" t="s">
        <v>58</v>
      </c>
      <c r="B25" s="266" t="s">
        <v>4</v>
      </c>
      <c r="C25" s="267" t="s">
        <v>7</v>
      </c>
      <c r="D25" s="267" t="s">
        <v>8</v>
      </c>
      <c r="E25" s="267" t="s">
        <v>9</v>
      </c>
      <c r="F25" s="267" t="s">
        <v>10</v>
      </c>
      <c r="G25" s="268" t="s">
        <v>11</v>
      </c>
      <c r="H25" s="269" t="s">
        <v>11</v>
      </c>
    </row>
    <row r="26" spans="1:8" ht="12.75">
      <c r="A26" s="219" t="s">
        <v>12</v>
      </c>
      <c r="B26" s="220" t="s">
        <v>4</v>
      </c>
      <c r="C26" s="222" t="s">
        <v>365</v>
      </c>
      <c r="D26" s="222" t="s">
        <v>366</v>
      </c>
      <c r="E26" s="222" t="s">
        <v>367</v>
      </c>
      <c r="F26" s="222" t="s">
        <v>368</v>
      </c>
      <c r="G26" s="232" t="s">
        <v>369</v>
      </c>
      <c r="H26" s="233" t="s">
        <v>369</v>
      </c>
    </row>
    <row r="27" spans="1:8" ht="12.75">
      <c r="A27" s="219" t="s">
        <v>59</v>
      </c>
      <c r="B27" s="220" t="s">
        <v>37</v>
      </c>
      <c r="C27" s="222" t="s">
        <v>370</v>
      </c>
      <c r="D27" s="222" t="s">
        <v>371</v>
      </c>
      <c r="E27" s="222" t="s">
        <v>372</v>
      </c>
      <c r="F27" s="222" t="s">
        <v>373</v>
      </c>
      <c r="G27" s="232" t="s">
        <v>374</v>
      </c>
      <c r="H27" s="319" t="s">
        <v>374</v>
      </c>
    </row>
    <row r="28" spans="1:10" ht="12.75">
      <c r="A28" s="223" t="s">
        <v>29</v>
      </c>
      <c r="B28" s="224" t="s">
        <v>4</v>
      </c>
      <c r="C28" s="274" t="s">
        <v>375</v>
      </c>
      <c r="D28" s="274" t="s">
        <v>376</v>
      </c>
      <c r="E28" s="274" t="s">
        <v>377</v>
      </c>
      <c r="F28" s="274" t="s">
        <v>378</v>
      </c>
      <c r="G28" s="275" t="s">
        <v>379</v>
      </c>
      <c r="H28" s="320">
        <v>1499.994329178</v>
      </c>
      <c r="I28" s="321">
        <v>1499.994329179</v>
      </c>
      <c r="J28" s="312" t="s">
        <v>390</v>
      </c>
    </row>
    <row r="29" spans="1:10" ht="12.75">
      <c r="A29" s="225" t="s">
        <v>30</v>
      </c>
      <c r="B29" s="226" t="s">
        <v>4</v>
      </c>
      <c r="C29" s="276" t="s">
        <v>375</v>
      </c>
      <c r="D29" s="276" t="s">
        <v>376</v>
      </c>
      <c r="E29" s="276" t="s">
        <v>377</v>
      </c>
      <c r="F29" s="276" t="s">
        <v>378</v>
      </c>
      <c r="G29" s="277" t="s">
        <v>379</v>
      </c>
      <c r="H29" s="427">
        <v>1500</v>
      </c>
      <c r="J29" s="312" t="s">
        <v>386</v>
      </c>
    </row>
    <row r="30" spans="1:8" ht="12.75">
      <c r="A30" s="225" t="s">
        <v>31</v>
      </c>
      <c r="B30" s="226" t="s">
        <v>4</v>
      </c>
      <c r="C30" s="276" t="s">
        <v>375</v>
      </c>
      <c r="D30" s="276" t="s">
        <v>376</v>
      </c>
      <c r="E30" s="276" t="s">
        <v>377</v>
      </c>
      <c r="F30" s="276" t="s">
        <v>378</v>
      </c>
      <c r="G30" s="277" t="s">
        <v>379</v>
      </c>
      <c r="H30" s="427">
        <v>1500</v>
      </c>
    </row>
    <row r="31" spans="1:11" ht="12.75">
      <c r="A31" s="225" t="s">
        <v>32</v>
      </c>
      <c r="B31" s="226" t="s">
        <v>4</v>
      </c>
      <c r="C31" s="276" t="s">
        <v>375</v>
      </c>
      <c r="D31" s="276" t="s">
        <v>376</v>
      </c>
      <c r="E31" s="276" t="s">
        <v>377</v>
      </c>
      <c r="F31" s="276" t="s">
        <v>378</v>
      </c>
      <c r="G31" s="277" t="s">
        <v>379</v>
      </c>
      <c r="H31" s="427">
        <v>1500</v>
      </c>
      <c r="K31" s="426"/>
    </row>
    <row r="32" spans="1:8" ht="12.75">
      <c r="A32" s="227" t="s">
        <v>33</v>
      </c>
      <c r="B32" s="228" t="s">
        <v>4</v>
      </c>
      <c r="C32" s="278" t="s">
        <v>375</v>
      </c>
      <c r="D32" s="278" t="s">
        <v>376</v>
      </c>
      <c r="E32" s="278" t="s">
        <v>377</v>
      </c>
      <c r="F32" s="278" t="s">
        <v>378</v>
      </c>
      <c r="G32" s="279" t="s">
        <v>379</v>
      </c>
      <c r="H32" s="428">
        <v>1500</v>
      </c>
    </row>
  </sheetData>
  <sheetProtection sheet="1" objects="1" scenarios="1"/>
  <conditionalFormatting sqref="C16:J16">
    <cfRule type="cellIs" priority="1" dxfId="19" operator="equal" stopIfTrue="1">
      <formula>"ja"</formula>
    </cfRule>
  </conditionalFormatting>
  <printOptions/>
  <pageMargins left="0.7" right="0.7" top="0.787401575" bottom="0.7874015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H114"/>
  <sheetViews>
    <sheetView zoomScalePageLayoutView="0" workbookViewId="0" topLeftCell="A11">
      <selection activeCell="O42" sqref="O42"/>
    </sheetView>
  </sheetViews>
  <sheetFormatPr defaultColWidth="11.421875" defaultRowHeight="12.75"/>
  <cols>
    <col min="1" max="1" width="11.7109375" style="112" customWidth="1"/>
    <col min="2" max="8" width="8.7109375" style="112" customWidth="1"/>
    <col min="9" max="16384" width="11.421875" style="109" customWidth="1"/>
  </cols>
  <sheetData>
    <row r="1" spans="1:7" ht="14.25">
      <c r="A1" s="108" t="s">
        <v>86</v>
      </c>
      <c r="B1" s="109"/>
      <c r="C1" s="109"/>
      <c r="D1" s="109"/>
      <c r="E1" s="109"/>
      <c r="F1" s="110" t="s">
        <v>87</v>
      </c>
      <c r="G1" s="111" t="s">
        <v>88</v>
      </c>
    </row>
    <row r="2" spans="1:8" ht="12.75">
      <c r="A2" s="113" t="s">
        <v>89</v>
      </c>
      <c r="B2" s="109"/>
      <c r="C2" s="109"/>
      <c r="D2" s="109"/>
      <c r="E2" s="109"/>
      <c r="F2" s="109"/>
      <c r="G2" s="109"/>
      <c r="H2" s="109"/>
    </row>
    <row r="3" spans="1:8" ht="20.25" customHeight="1">
      <c r="A3" s="486" t="s">
        <v>90</v>
      </c>
      <c r="B3" s="486"/>
      <c r="C3" s="486"/>
      <c r="D3" s="486"/>
      <c r="E3" s="486"/>
      <c r="F3" s="486"/>
      <c r="G3" s="486"/>
      <c r="H3" s="486"/>
    </row>
    <row r="4" spans="1:8" ht="6" customHeight="1">
      <c r="A4" s="114"/>
      <c r="B4" s="114"/>
      <c r="C4" s="114"/>
      <c r="D4" s="114"/>
      <c r="E4" s="114"/>
      <c r="F4" s="114"/>
      <c r="G4" s="114"/>
      <c r="H4" s="114"/>
    </row>
    <row r="5" spans="1:8" ht="12.75" customHeight="1">
      <c r="A5" s="487" t="s">
        <v>91</v>
      </c>
      <c r="B5" s="487"/>
      <c r="C5" s="487"/>
      <c r="D5" s="487"/>
      <c r="E5" s="487"/>
      <c r="F5" s="487"/>
      <c r="G5" s="487"/>
      <c r="H5" s="487"/>
    </row>
    <row r="6" spans="1:8" ht="12.75" customHeight="1">
      <c r="A6" s="488" t="s">
        <v>92</v>
      </c>
      <c r="B6" s="488"/>
      <c r="C6" s="488"/>
      <c r="D6" s="488"/>
      <c r="E6" s="488"/>
      <c r="F6" s="488"/>
      <c r="G6" s="488"/>
      <c r="H6" s="488"/>
    </row>
    <row r="7" spans="1:8" ht="6" customHeight="1">
      <c r="A7" s="489"/>
      <c r="B7" s="489"/>
      <c r="C7" s="489"/>
      <c r="D7" s="489"/>
      <c r="E7" s="489"/>
      <c r="F7" s="489"/>
      <c r="G7" s="489"/>
      <c r="H7" s="489"/>
    </row>
    <row r="8" spans="1:8" ht="12.75" customHeight="1">
      <c r="A8" s="490" t="s">
        <v>93</v>
      </c>
      <c r="B8" s="490"/>
      <c r="C8" s="490"/>
      <c r="D8" s="490"/>
      <c r="E8" s="490"/>
      <c r="F8" s="490"/>
      <c r="G8" s="490"/>
      <c r="H8" s="490"/>
    </row>
    <row r="9" spans="1:8" ht="21" customHeight="1">
      <c r="A9" s="491" t="s">
        <v>94</v>
      </c>
      <c r="B9" s="491"/>
      <c r="C9" s="491"/>
      <c r="D9" s="491"/>
      <c r="E9" s="491"/>
      <c r="F9" s="491"/>
      <c r="G9" s="491"/>
      <c r="H9" s="491"/>
    </row>
    <row r="10" spans="1:8" ht="12" customHeight="1">
      <c r="A10" s="491"/>
      <c r="B10" s="491"/>
      <c r="C10" s="491"/>
      <c r="D10" s="491"/>
      <c r="E10" s="491"/>
      <c r="F10" s="491"/>
      <c r="G10" s="491"/>
      <c r="H10" s="491"/>
    </row>
    <row r="11" spans="1:8" ht="12.75">
      <c r="A11" s="485"/>
      <c r="B11" s="485"/>
      <c r="C11" s="485"/>
      <c r="D11" s="485"/>
      <c r="E11" s="485"/>
      <c r="F11" s="485"/>
      <c r="G11" s="485"/>
      <c r="H11" s="485"/>
    </row>
    <row r="12" spans="1:8" ht="12.75">
      <c r="A12" s="115"/>
      <c r="B12" s="116"/>
      <c r="C12" s="117"/>
      <c r="D12" s="117"/>
      <c r="E12" s="117"/>
      <c r="F12" s="117"/>
      <c r="G12" s="117"/>
      <c r="H12" s="117"/>
    </row>
    <row r="13" spans="1:8" ht="12.75">
      <c r="A13" s="118"/>
      <c r="B13" s="119"/>
      <c r="C13" s="120"/>
      <c r="D13" s="120"/>
      <c r="E13" s="120"/>
      <c r="F13" s="120"/>
      <c r="G13" s="120"/>
      <c r="H13" s="120"/>
    </row>
    <row r="14" spans="1:8" ht="14.25">
      <c r="A14" s="121" t="s">
        <v>95</v>
      </c>
      <c r="B14" s="122"/>
      <c r="C14" s="123"/>
      <c r="D14" s="123"/>
      <c r="E14" s="123"/>
      <c r="F14" s="123"/>
      <c r="G14" s="123"/>
      <c r="H14" s="123"/>
    </row>
    <row r="15" spans="1:8" ht="15" customHeight="1">
      <c r="A15" s="124" t="s">
        <v>96</v>
      </c>
      <c r="B15" s="125" t="s">
        <v>97</v>
      </c>
      <c r="C15" s="429" t="s">
        <v>98</v>
      </c>
      <c r="D15" s="126" t="s">
        <v>99</v>
      </c>
      <c r="E15" s="126" t="s">
        <v>100</v>
      </c>
      <c r="F15" s="127" t="s">
        <v>101</v>
      </c>
      <c r="G15" s="128"/>
      <c r="H15" s="128"/>
    </row>
    <row r="16" spans="1:8" ht="15" customHeight="1">
      <c r="A16" s="129" t="s">
        <v>102</v>
      </c>
      <c r="B16" s="125" t="s">
        <v>97</v>
      </c>
      <c r="C16" s="429" t="s">
        <v>98</v>
      </c>
      <c r="D16" s="126" t="s">
        <v>99</v>
      </c>
      <c r="E16" s="126" t="s">
        <v>100</v>
      </c>
      <c r="F16" s="127" t="s">
        <v>101</v>
      </c>
      <c r="G16" s="128"/>
      <c r="H16" s="128"/>
    </row>
    <row r="17" spans="1:8" ht="15" customHeight="1">
      <c r="A17" s="129" t="s">
        <v>103</v>
      </c>
      <c r="B17" s="125" t="s">
        <v>97</v>
      </c>
      <c r="C17" s="429" t="s">
        <v>98</v>
      </c>
      <c r="D17" s="126" t="s">
        <v>99</v>
      </c>
      <c r="E17" s="126" t="s">
        <v>100</v>
      </c>
      <c r="F17" s="127" t="s">
        <v>101</v>
      </c>
      <c r="G17" s="128"/>
      <c r="H17" s="128"/>
    </row>
    <row r="18" spans="1:8" ht="15" customHeight="1">
      <c r="A18" s="124" t="s">
        <v>104</v>
      </c>
      <c r="B18" s="125" t="s">
        <v>97</v>
      </c>
      <c r="C18" s="429" t="s">
        <v>105</v>
      </c>
      <c r="D18" s="126" t="s">
        <v>106</v>
      </c>
      <c r="E18" s="126" t="s">
        <v>107</v>
      </c>
      <c r="F18" s="127" t="s">
        <v>108</v>
      </c>
      <c r="G18" s="128"/>
      <c r="H18" s="128"/>
    </row>
    <row r="19" spans="1:8" ht="15" customHeight="1">
      <c r="A19" s="129" t="s">
        <v>109</v>
      </c>
      <c r="B19" s="125" t="s">
        <v>110</v>
      </c>
      <c r="C19" s="429" t="s">
        <v>111</v>
      </c>
      <c r="D19" s="126" t="s">
        <v>112</v>
      </c>
      <c r="E19" s="126" t="s">
        <v>113</v>
      </c>
      <c r="F19" s="127" t="s">
        <v>114</v>
      </c>
      <c r="G19" s="128"/>
      <c r="H19" s="128"/>
    </row>
    <row r="20" spans="1:8" ht="15" customHeight="1">
      <c r="A20" s="129" t="s">
        <v>115</v>
      </c>
      <c r="B20" s="125" t="s">
        <v>116</v>
      </c>
      <c r="C20" s="429" t="s">
        <v>117</v>
      </c>
      <c r="D20" s="126" t="s">
        <v>118</v>
      </c>
      <c r="E20" s="126" t="s">
        <v>119</v>
      </c>
      <c r="F20" s="127" t="s">
        <v>120</v>
      </c>
      <c r="G20" s="128"/>
      <c r="H20" s="128"/>
    </row>
    <row r="21" spans="1:8" ht="15" customHeight="1">
      <c r="A21" s="124" t="s">
        <v>121</v>
      </c>
      <c r="B21" s="125" t="s">
        <v>122</v>
      </c>
      <c r="C21" s="429" t="s">
        <v>123</v>
      </c>
      <c r="D21" s="126" t="s">
        <v>124</v>
      </c>
      <c r="E21" s="126" t="s">
        <v>125</v>
      </c>
      <c r="F21" s="127" t="s">
        <v>126</v>
      </c>
      <c r="G21" s="127" t="s">
        <v>127</v>
      </c>
      <c r="H21" s="128"/>
    </row>
    <row r="22" spans="1:8" ht="15" customHeight="1">
      <c r="A22" s="129" t="s">
        <v>128</v>
      </c>
      <c r="B22" s="125" t="s">
        <v>98</v>
      </c>
      <c r="C22" s="429" t="s">
        <v>129</v>
      </c>
      <c r="D22" s="126" t="s">
        <v>100</v>
      </c>
      <c r="E22" s="126" t="s">
        <v>101</v>
      </c>
      <c r="F22" s="127" t="s">
        <v>130</v>
      </c>
      <c r="G22" s="127" t="s">
        <v>131</v>
      </c>
      <c r="H22" s="128"/>
    </row>
    <row r="23" spans="1:8" ht="15" customHeight="1">
      <c r="A23" s="130" t="s">
        <v>132</v>
      </c>
      <c r="B23" s="131" t="s">
        <v>105</v>
      </c>
      <c r="C23" s="430" t="s">
        <v>133</v>
      </c>
      <c r="D23" s="132" t="s">
        <v>107</v>
      </c>
      <c r="E23" s="132" t="s">
        <v>108</v>
      </c>
      <c r="F23" s="133" t="s">
        <v>134</v>
      </c>
      <c r="G23" s="133" t="s">
        <v>135</v>
      </c>
      <c r="H23" s="134"/>
    </row>
    <row r="24" spans="1:8" ht="15" customHeight="1">
      <c r="A24" s="124" t="s">
        <v>136</v>
      </c>
      <c r="B24" s="125" t="s">
        <v>111</v>
      </c>
      <c r="C24" s="429" t="s">
        <v>137</v>
      </c>
      <c r="D24" s="126" t="s">
        <v>113</v>
      </c>
      <c r="E24" s="126" t="s">
        <v>114</v>
      </c>
      <c r="F24" s="127" t="s">
        <v>138</v>
      </c>
      <c r="G24" s="127" t="s">
        <v>139</v>
      </c>
      <c r="H24" s="127" t="s">
        <v>140</v>
      </c>
    </row>
    <row r="25" spans="1:8" ht="15" customHeight="1">
      <c r="A25" s="129" t="s">
        <v>141</v>
      </c>
      <c r="B25" s="125" t="s">
        <v>117</v>
      </c>
      <c r="C25" s="429" t="s">
        <v>142</v>
      </c>
      <c r="D25" s="126" t="s">
        <v>119</v>
      </c>
      <c r="E25" s="126" t="s">
        <v>120</v>
      </c>
      <c r="F25" s="127" t="s">
        <v>143</v>
      </c>
      <c r="G25" s="127" t="s">
        <v>144</v>
      </c>
      <c r="H25" s="127" t="s">
        <v>145</v>
      </c>
    </row>
    <row r="26" spans="1:8" ht="15" customHeight="1">
      <c r="A26" s="129" t="s">
        <v>146</v>
      </c>
      <c r="B26" s="125" t="s">
        <v>123</v>
      </c>
      <c r="C26" s="429" t="s">
        <v>147</v>
      </c>
      <c r="D26" s="126" t="s">
        <v>125</v>
      </c>
      <c r="E26" s="126" t="s">
        <v>126</v>
      </c>
      <c r="F26" s="127" t="s">
        <v>127</v>
      </c>
      <c r="G26" s="127" t="s">
        <v>148</v>
      </c>
      <c r="H26" s="127" t="s">
        <v>149</v>
      </c>
    </row>
    <row r="27" spans="1:8" ht="15" customHeight="1">
      <c r="A27" s="124" t="s">
        <v>150</v>
      </c>
      <c r="B27" s="125" t="s">
        <v>129</v>
      </c>
      <c r="C27" s="429" t="s">
        <v>151</v>
      </c>
      <c r="D27" s="126" t="s">
        <v>101</v>
      </c>
      <c r="E27" s="126" t="s">
        <v>130</v>
      </c>
      <c r="F27" s="127" t="s">
        <v>131</v>
      </c>
      <c r="G27" s="127" t="s">
        <v>152</v>
      </c>
      <c r="H27" s="127" t="s">
        <v>153</v>
      </c>
    </row>
    <row r="28" spans="1:8" ht="15" customHeight="1">
      <c r="A28" s="129" t="s">
        <v>154</v>
      </c>
      <c r="B28" s="125" t="s">
        <v>133</v>
      </c>
      <c r="C28" s="429" t="s">
        <v>155</v>
      </c>
      <c r="D28" s="126" t="s">
        <v>108</v>
      </c>
      <c r="E28" s="126" t="s">
        <v>134</v>
      </c>
      <c r="F28" s="127" t="s">
        <v>135</v>
      </c>
      <c r="G28" s="127" t="s">
        <v>156</v>
      </c>
      <c r="H28" s="127" t="s">
        <v>157</v>
      </c>
    </row>
    <row r="29" spans="1:8" ht="15" customHeight="1">
      <c r="A29" s="129" t="s">
        <v>158</v>
      </c>
      <c r="B29" s="125" t="s">
        <v>159</v>
      </c>
      <c r="C29" s="429" t="s">
        <v>160</v>
      </c>
      <c r="D29" s="126" t="s">
        <v>161</v>
      </c>
      <c r="E29" s="126" t="s">
        <v>138</v>
      </c>
      <c r="F29" s="127" t="s">
        <v>162</v>
      </c>
      <c r="G29" s="127" t="s">
        <v>140</v>
      </c>
      <c r="H29" s="127" t="s">
        <v>163</v>
      </c>
    </row>
    <row r="30" spans="1:8" ht="15" customHeight="1">
      <c r="A30" s="124" t="s">
        <v>164</v>
      </c>
      <c r="B30" s="125" t="s">
        <v>165</v>
      </c>
      <c r="C30" s="429" t="s">
        <v>166</v>
      </c>
      <c r="D30" s="126" t="s">
        <v>167</v>
      </c>
      <c r="E30" s="126" t="s">
        <v>127</v>
      </c>
      <c r="F30" s="127" t="s">
        <v>148</v>
      </c>
      <c r="G30" s="127" t="s">
        <v>149</v>
      </c>
      <c r="H30" s="127" t="s">
        <v>168</v>
      </c>
    </row>
    <row r="31" spans="1:8" ht="15" customHeight="1">
      <c r="A31" s="129" t="s">
        <v>169</v>
      </c>
      <c r="B31" s="125" t="s">
        <v>160</v>
      </c>
      <c r="C31" s="429" t="s">
        <v>170</v>
      </c>
      <c r="D31" s="126" t="s">
        <v>138</v>
      </c>
      <c r="E31" s="126" t="s">
        <v>162</v>
      </c>
      <c r="F31" s="127" t="s">
        <v>140</v>
      </c>
      <c r="G31" s="127" t="s">
        <v>163</v>
      </c>
      <c r="H31" s="127" t="s">
        <v>171</v>
      </c>
    </row>
    <row r="32" spans="1:8" ht="15" customHeight="1">
      <c r="A32" s="130" t="s">
        <v>172</v>
      </c>
      <c r="B32" s="131" t="s">
        <v>173</v>
      </c>
      <c r="C32" s="430" t="s">
        <v>174</v>
      </c>
      <c r="D32" s="132" t="s">
        <v>135</v>
      </c>
      <c r="E32" s="132" t="s">
        <v>175</v>
      </c>
      <c r="F32" s="133" t="s">
        <v>157</v>
      </c>
      <c r="G32" s="133" t="s">
        <v>176</v>
      </c>
      <c r="H32" s="133" t="s">
        <v>177</v>
      </c>
    </row>
    <row r="33" spans="1:8" ht="15" customHeight="1">
      <c r="A33" s="124" t="s">
        <v>178</v>
      </c>
      <c r="B33" s="125" t="s">
        <v>179</v>
      </c>
      <c r="C33" s="429" t="s">
        <v>180</v>
      </c>
      <c r="D33" s="126" t="s">
        <v>181</v>
      </c>
      <c r="E33" s="126" t="s">
        <v>149</v>
      </c>
      <c r="F33" s="127" t="s">
        <v>168</v>
      </c>
      <c r="G33" s="127" t="s">
        <v>182</v>
      </c>
      <c r="H33" s="127" t="s">
        <v>183</v>
      </c>
    </row>
    <row r="34" spans="1:8" ht="15" customHeight="1">
      <c r="A34" s="129" t="s">
        <v>184</v>
      </c>
      <c r="B34" s="125" t="s">
        <v>138</v>
      </c>
      <c r="C34" s="429" t="s">
        <v>185</v>
      </c>
      <c r="D34" s="126" t="s">
        <v>140</v>
      </c>
      <c r="E34" s="126" t="s">
        <v>163</v>
      </c>
      <c r="F34" s="127" t="s">
        <v>171</v>
      </c>
      <c r="G34" s="127" t="s">
        <v>186</v>
      </c>
      <c r="H34" s="127" t="s">
        <v>187</v>
      </c>
    </row>
    <row r="35" spans="1:8" ht="15" customHeight="1">
      <c r="A35" s="129" t="s">
        <v>188</v>
      </c>
      <c r="B35" s="125" t="s">
        <v>135</v>
      </c>
      <c r="C35" s="429" t="s">
        <v>189</v>
      </c>
      <c r="D35" s="126" t="s">
        <v>157</v>
      </c>
      <c r="E35" s="126" t="s">
        <v>176</v>
      </c>
      <c r="F35" s="127" t="s">
        <v>177</v>
      </c>
      <c r="G35" s="127" t="s">
        <v>190</v>
      </c>
      <c r="H35" s="127" t="s">
        <v>191</v>
      </c>
    </row>
    <row r="36" spans="1:8" ht="15" customHeight="1">
      <c r="A36" s="129" t="s">
        <v>192</v>
      </c>
      <c r="B36" s="125" t="s">
        <v>181</v>
      </c>
      <c r="C36" s="429" t="s">
        <v>193</v>
      </c>
      <c r="D36" s="126" t="s">
        <v>168</v>
      </c>
      <c r="E36" s="126" t="s">
        <v>182</v>
      </c>
      <c r="F36" s="127" t="s">
        <v>183</v>
      </c>
      <c r="G36" s="127" t="s">
        <v>194</v>
      </c>
      <c r="H36" s="127" t="s">
        <v>195</v>
      </c>
    </row>
    <row r="37" spans="1:8" ht="15" customHeight="1">
      <c r="A37" s="129" t="s">
        <v>196</v>
      </c>
      <c r="B37" s="125" t="s">
        <v>140</v>
      </c>
      <c r="C37" s="429" t="s">
        <v>197</v>
      </c>
      <c r="D37" s="126" t="s">
        <v>171</v>
      </c>
      <c r="E37" s="126" t="s">
        <v>186</v>
      </c>
      <c r="F37" s="127" t="s">
        <v>187</v>
      </c>
      <c r="G37" s="127" t="s">
        <v>198</v>
      </c>
      <c r="H37" s="127" t="s">
        <v>199</v>
      </c>
    </row>
    <row r="38" spans="1:8" ht="15" customHeight="1">
      <c r="A38" s="135" t="s">
        <v>200</v>
      </c>
      <c r="B38" s="136" t="s">
        <v>157</v>
      </c>
      <c r="C38" s="431" t="s">
        <v>201</v>
      </c>
      <c r="D38" s="137" t="s">
        <v>177</v>
      </c>
      <c r="E38" s="137" t="s">
        <v>190</v>
      </c>
      <c r="F38" s="138" t="s">
        <v>191</v>
      </c>
      <c r="G38" s="138" t="s">
        <v>202</v>
      </c>
      <c r="H38" s="138" t="s">
        <v>203</v>
      </c>
    </row>
    <row r="39" spans="1:8" ht="12.75">
      <c r="A39" s="109"/>
      <c r="B39" s="109"/>
      <c r="C39" s="109"/>
      <c r="D39" s="109"/>
      <c r="E39" s="109"/>
      <c r="F39" s="109"/>
      <c r="G39" s="109"/>
      <c r="H39" s="109"/>
    </row>
    <row r="40" spans="1:8" ht="12.75">
      <c r="A40" s="109"/>
      <c r="B40" s="109"/>
      <c r="C40" s="109"/>
      <c r="D40" s="109"/>
      <c r="E40" s="109"/>
      <c r="F40" s="109"/>
      <c r="G40" s="109"/>
      <c r="H40" s="109"/>
    </row>
    <row r="41" spans="1:8" ht="12.75">
      <c r="A41" s="109"/>
      <c r="B41" s="109"/>
      <c r="C41" s="109"/>
      <c r="D41" s="109"/>
      <c r="E41" s="109"/>
      <c r="F41" s="109"/>
      <c r="G41" s="109"/>
      <c r="H41" s="109"/>
    </row>
    <row r="42" spans="1:8" ht="12.75">
      <c r="A42" s="109"/>
      <c r="B42" s="109"/>
      <c r="C42" s="109"/>
      <c r="D42" s="109"/>
      <c r="E42" s="109"/>
      <c r="F42" s="109"/>
      <c r="G42" s="109"/>
      <c r="H42" s="109"/>
    </row>
    <row r="43" spans="1:8" ht="12.75">
      <c r="A43" s="109"/>
      <c r="B43" s="109"/>
      <c r="C43" s="109"/>
      <c r="D43" s="109"/>
      <c r="E43" s="109"/>
      <c r="F43" s="109"/>
      <c r="G43" s="109"/>
      <c r="H43" s="109"/>
    </row>
    <row r="44" spans="1:8" ht="12.75">
      <c r="A44" s="109"/>
      <c r="B44" s="109"/>
      <c r="C44" s="109"/>
      <c r="D44" s="109"/>
      <c r="E44" s="109"/>
      <c r="F44" s="109"/>
      <c r="G44" s="109"/>
      <c r="H44" s="109"/>
    </row>
    <row r="45" spans="1:8" ht="12.75">
      <c r="A45" s="109"/>
      <c r="B45" s="109"/>
      <c r="C45" s="109"/>
      <c r="D45" s="109"/>
      <c r="E45" s="109"/>
      <c r="F45" s="109"/>
      <c r="G45" s="109"/>
      <c r="H45" s="109"/>
    </row>
    <row r="46" spans="1:8" ht="12.75">
      <c r="A46" s="109"/>
      <c r="B46" s="109"/>
      <c r="C46" s="109"/>
      <c r="D46" s="109"/>
      <c r="E46" s="109"/>
      <c r="F46" s="109"/>
      <c r="G46" s="109"/>
      <c r="H46" s="109"/>
    </row>
    <row r="47" spans="1:8" ht="12.75">
      <c r="A47" s="109"/>
      <c r="B47" s="109"/>
      <c r="C47" s="109"/>
      <c r="D47" s="109"/>
      <c r="E47" s="109"/>
      <c r="F47" s="109"/>
      <c r="G47" s="109"/>
      <c r="H47" s="109"/>
    </row>
    <row r="48" spans="1:8" ht="12.75">
      <c r="A48" s="109"/>
      <c r="B48" s="109"/>
      <c r="C48" s="109"/>
      <c r="D48" s="109"/>
      <c r="E48" s="109"/>
      <c r="F48" s="109"/>
      <c r="G48" s="109"/>
      <c r="H48" s="109"/>
    </row>
    <row r="49" spans="1:8" ht="12.75">
      <c r="A49" s="109"/>
      <c r="B49" s="109"/>
      <c r="C49" s="109"/>
      <c r="D49" s="109"/>
      <c r="E49" s="109"/>
      <c r="F49" s="109"/>
      <c r="G49" s="109"/>
      <c r="H49" s="109"/>
    </row>
    <row r="50" spans="1:8" ht="12.75">
      <c r="A50" s="109"/>
      <c r="B50" s="109"/>
      <c r="C50" s="109"/>
      <c r="D50" s="109"/>
      <c r="E50" s="109"/>
      <c r="F50" s="109"/>
      <c r="G50" s="109"/>
      <c r="H50" s="109"/>
    </row>
    <row r="51" spans="1:8" ht="409.5">
      <c r="A51" s="109"/>
      <c r="B51" s="109"/>
      <c r="C51" s="109"/>
      <c r="D51" s="109"/>
      <c r="E51" s="109"/>
      <c r="F51" s="109"/>
      <c r="G51" s="109"/>
      <c r="H51" s="109"/>
    </row>
    <row r="52" spans="1:8" ht="409.5">
      <c r="A52" s="109"/>
      <c r="B52" s="109"/>
      <c r="C52" s="109"/>
      <c r="D52" s="109"/>
      <c r="E52" s="109"/>
      <c r="F52" s="109"/>
      <c r="G52" s="109"/>
      <c r="H52" s="109"/>
    </row>
    <row r="53" spans="1:8" ht="409.5">
      <c r="A53" s="109"/>
      <c r="B53" s="109"/>
      <c r="C53" s="109"/>
      <c r="D53" s="109"/>
      <c r="E53" s="109"/>
      <c r="F53" s="109"/>
      <c r="G53" s="109"/>
      <c r="H53" s="109"/>
    </row>
    <row r="54" spans="1:8" ht="409.5">
      <c r="A54" s="109"/>
      <c r="B54" s="109"/>
      <c r="C54" s="109"/>
      <c r="D54" s="109"/>
      <c r="E54" s="109"/>
      <c r="F54" s="109"/>
      <c r="G54" s="109"/>
      <c r="H54" s="109"/>
    </row>
    <row r="55" spans="1:8" ht="409.5">
      <c r="A55" s="109"/>
      <c r="B55" s="109"/>
      <c r="C55" s="109"/>
      <c r="D55" s="109"/>
      <c r="E55" s="109"/>
      <c r="F55" s="109"/>
      <c r="G55" s="109"/>
      <c r="H55" s="109"/>
    </row>
    <row r="56" spans="1:8" ht="409.5">
      <c r="A56" s="109"/>
      <c r="B56" s="109"/>
      <c r="C56" s="109"/>
      <c r="D56" s="109"/>
      <c r="E56" s="109"/>
      <c r="F56" s="109"/>
      <c r="G56" s="109"/>
      <c r="H56" s="109"/>
    </row>
    <row r="57" spans="1:8" ht="409.5">
      <c r="A57" s="109"/>
      <c r="B57" s="109"/>
      <c r="C57" s="109"/>
      <c r="D57" s="109"/>
      <c r="E57" s="109"/>
      <c r="F57" s="109"/>
      <c r="G57" s="109"/>
      <c r="H57" s="109"/>
    </row>
    <row r="58" spans="1:8" ht="409.5">
      <c r="A58" s="109"/>
      <c r="B58" s="109"/>
      <c r="C58" s="109"/>
      <c r="D58" s="109"/>
      <c r="E58" s="109"/>
      <c r="F58" s="109"/>
      <c r="G58" s="109"/>
      <c r="H58" s="109"/>
    </row>
    <row r="59" spans="1:8" ht="409.5">
      <c r="A59" s="109"/>
      <c r="B59" s="109"/>
      <c r="C59" s="109"/>
      <c r="D59" s="109"/>
      <c r="E59" s="109"/>
      <c r="F59" s="109"/>
      <c r="G59" s="109"/>
      <c r="H59" s="109"/>
    </row>
    <row r="60" spans="1:8" ht="409.5">
      <c r="A60" s="109"/>
      <c r="B60" s="109"/>
      <c r="C60" s="109"/>
      <c r="D60" s="109"/>
      <c r="E60" s="109"/>
      <c r="F60" s="109"/>
      <c r="G60" s="109"/>
      <c r="H60" s="109"/>
    </row>
    <row r="61" spans="1:8" ht="409.5">
      <c r="A61" s="109"/>
      <c r="B61" s="109"/>
      <c r="C61" s="109"/>
      <c r="D61" s="109"/>
      <c r="E61" s="109"/>
      <c r="F61" s="109"/>
      <c r="G61" s="109"/>
      <c r="H61" s="109"/>
    </row>
    <row r="62" spans="1:8" ht="409.5">
      <c r="A62" s="109"/>
      <c r="B62" s="109"/>
      <c r="C62" s="109"/>
      <c r="D62" s="109"/>
      <c r="E62" s="109"/>
      <c r="F62" s="109"/>
      <c r="G62" s="109"/>
      <c r="H62" s="109"/>
    </row>
    <row r="63" spans="1:8" ht="409.5">
      <c r="A63" s="109"/>
      <c r="B63" s="109"/>
      <c r="C63" s="109"/>
      <c r="D63" s="109"/>
      <c r="E63" s="109"/>
      <c r="F63" s="109"/>
      <c r="G63" s="109"/>
      <c r="H63" s="109"/>
    </row>
    <row r="64" spans="1:8" ht="409.5">
      <c r="A64" s="109"/>
      <c r="B64" s="109"/>
      <c r="C64" s="109"/>
      <c r="D64" s="109"/>
      <c r="E64" s="109"/>
      <c r="F64" s="109"/>
      <c r="G64" s="109"/>
      <c r="H64" s="109"/>
    </row>
    <row r="65" spans="1:8" ht="409.5">
      <c r="A65" s="109"/>
      <c r="B65" s="109"/>
      <c r="C65" s="109"/>
      <c r="D65" s="109"/>
      <c r="E65" s="109"/>
      <c r="F65" s="109"/>
      <c r="G65" s="109"/>
      <c r="H65" s="109"/>
    </row>
    <row r="66" spans="1:8" ht="409.5">
      <c r="A66" s="109"/>
      <c r="B66" s="109"/>
      <c r="C66" s="109"/>
      <c r="D66" s="109"/>
      <c r="E66" s="109"/>
      <c r="F66" s="109"/>
      <c r="G66" s="109"/>
      <c r="H66" s="109"/>
    </row>
    <row r="67" spans="1:8" ht="409.5">
      <c r="A67" s="109"/>
      <c r="B67" s="109"/>
      <c r="C67" s="109"/>
      <c r="D67" s="109"/>
      <c r="E67" s="109"/>
      <c r="F67" s="109"/>
      <c r="G67" s="109"/>
      <c r="H67" s="109"/>
    </row>
    <row r="68" spans="1:8" ht="409.5">
      <c r="A68" s="109"/>
      <c r="B68" s="109"/>
      <c r="C68" s="109"/>
      <c r="D68" s="109"/>
      <c r="E68" s="109"/>
      <c r="F68" s="109"/>
      <c r="G68" s="109"/>
      <c r="H68" s="109"/>
    </row>
    <row r="69" spans="1:8" ht="409.5">
      <c r="A69" s="109"/>
      <c r="B69" s="109"/>
      <c r="C69" s="109"/>
      <c r="D69" s="109"/>
      <c r="E69" s="109"/>
      <c r="F69" s="109"/>
      <c r="G69" s="109"/>
      <c r="H69" s="109"/>
    </row>
    <row r="70" spans="1:8" ht="409.5">
      <c r="A70" s="109"/>
      <c r="B70" s="109"/>
      <c r="C70" s="109"/>
      <c r="D70" s="109"/>
      <c r="E70" s="109"/>
      <c r="F70" s="109"/>
      <c r="G70" s="109"/>
      <c r="H70" s="109"/>
    </row>
    <row r="71" spans="1:8" ht="409.5">
      <c r="A71" s="109"/>
      <c r="B71" s="109"/>
      <c r="C71" s="109"/>
      <c r="D71" s="109"/>
      <c r="E71" s="109"/>
      <c r="F71" s="109"/>
      <c r="G71" s="109"/>
      <c r="H71" s="109"/>
    </row>
    <row r="72" spans="1:8" ht="409.5">
      <c r="A72" s="109"/>
      <c r="B72" s="109"/>
      <c r="C72" s="109"/>
      <c r="D72" s="109"/>
      <c r="E72" s="109"/>
      <c r="F72" s="109"/>
      <c r="G72" s="109"/>
      <c r="H72" s="109"/>
    </row>
    <row r="73" spans="1:8" ht="409.5">
      <c r="A73" s="109"/>
      <c r="B73" s="109"/>
      <c r="C73" s="109"/>
      <c r="D73" s="109"/>
      <c r="E73" s="109"/>
      <c r="F73" s="109"/>
      <c r="G73" s="109"/>
      <c r="H73" s="109"/>
    </row>
    <row r="74" spans="1:8" ht="409.5">
      <c r="A74" s="109"/>
      <c r="B74" s="109"/>
      <c r="C74" s="109"/>
      <c r="D74" s="109"/>
      <c r="E74" s="109"/>
      <c r="F74" s="109"/>
      <c r="G74" s="109"/>
      <c r="H74" s="109"/>
    </row>
    <row r="75" spans="1:8" ht="409.5">
      <c r="A75" s="109"/>
      <c r="B75" s="109"/>
      <c r="C75" s="109"/>
      <c r="D75" s="109"/>
      <c r="E75" s="109"/>
      <c r="F75" s="109"/>
      <c r="G75" s="109"/>
      <c r="H75" s="109"/>
    </row>
    <row r="76" spans="1:8" ht="409.5">
      <c r="A76" s="109"/>
      <c r="B76" s="109"/>
      <c r="C76" s="109"/>
      <c r="D76" s="109"/>
      <c r="E76" s="109"/>
      <c r="F76" s="109"/>
      <c r="G76" s="109"/>
      <c r="H76" s="109"/>
    </row>
    <row r="77" spans="1:8" ht="409.5">
      <c r="A77" s="109"/>
      <c r="B77" s="109"/>
      <c r="C77" s="109"/>
      <c r="D77" s="109"/>
      <c r="E77" s="109"/>
      <c r="F77" s="109"/>
      <c r="G77" s="109"/>
      <c r="H77" s="109"/>
    </row>
    <row r="78" spans="1:8" ht="409.5">
      <c r="A78" s="109"/>
      <c r="B78" s="109"/>
      <c r="C78" s="109"/>
      <c r="D78" s="109"/>
      <c r="E78" s="109"/>
      <c r="F78" s="109"/>
      <c r="G78" s="109"/>
      <c r="H78" s="109"/>
    </row>
    <row r="79" spans="1:8" ht="409.5">
      <c r="A79" s="109"/>
      <c r="B79" s="109"/>
      <c r="C79" s="109"/>
      <c r="D79" s="109"/>
      <c r="E79" s="109"/>
      <c r="F79" s="109"/>
      <c r="G79" s="109"/>
      <c r="H79" s="109"/>
    </row>
    <row r="80" spans="1:8" ht="409.5">
      <c r="A80" s="109"/>
      <c r="B80" s="109"/>
      <c r="C80" s="109"/>
      <c r="D80" s="109"/>
      <c r="E80" s="109"/>
      <c r="F80" s="109"/>
      <c r="G80" s="109"/>
      <c r="H80" s="109"/>
    </row>
    <row r="81" spans="1:8" ht="409.5">
      <c r="A81" s="109"/>
      <c r="B81" s="109"/>
      <c r="C81" s="109"/>
      <c r="D81" s="109"/>
      <c r="E81" s="109"/>
      <c r="F81" s="109"/>
      <c r="G81" s="109"/>
      <c r="H81" s="109"/>
    </row>
    <row r="82" spans="1:8" ht="409.5">
      <c r="A82" s="109"/>
      <c r="B82" s="109"/>
      <c r="C82" s="109"/>
      <c r="D82" s="109"/>
      <c r="E82" s="109"/>
      <c r="F82" s="109"/>
      <c r="G82" s="109"/>
      <c r="H82" s="109"/>
    </row>
    <row r="83" spans="1:8" ht="409.5">
      <c r="A83" s="109"/>
      <c r="B83" s="109"/>
      <c r="C83" s="109"/>
      <c r="D83" s="109"/>
      <c r="E83" s="109"/>
      <c r="F83" s="109"/>
      <c r="G83" s="109"/>
      <c r="H83" s="109"/>
    </row>
    <row r="84" spans="1:8" ht="409.5">
      <c r="A84" s="109"/>
      <c r="B84" s="109"/>
      <c r="C84" s="109"/>
      <c r="D84" s="109"/>
      <c r="E84" s="109"/>
      <c r="F84" s="109"/>
      <c r="G84" s="109"/>
      <c r="H84" s="109"/>
    </row>
    <row r="85" spans="1:8" ht="409.5">
      <c r="A85" s="109"/>
      <c r="B85" s="109"/>
      <c r="C85" s="109"/>
      <c r="D85" s="109"/>
      <c r="E85" s="109"/>
      <c r="F85" s="109"/>
      <c r="G85" s="109"/>
      <c r="H85" s="109"/>
    </row>
    <row r="86" spans="1:8" ht="409.5">
      <c r="A86" s="109"/>
      <c r="B86" s="109"/>
      <c r="C86" s="109"/>
      <c r="D86" s="109"/>
      <c r="E86" s="109"/>
      <c r="F86" s="109"/>
      <c r="G86" s="109"/>
      <c r="H86" s="109"/>
    </row>
    <row r="87" spans="1:8" ht="409.5">
      <c r="A87" s="109"/>
      <c r="B87" s="109"/>
      <c r="C87" s="109"/>
      <c r="D87" s="109"/>
      <c r="E87" s="109"/>
      <c r="F87" s="109"/>
      <c r="G87" s="109"/>
      <c r="H87" s="109"/>
    </row>
    <row r="88" spans="1:8" ht="409.5">
      <c r="A88" s="109"/>
      <c r="B88" s="109"/>
      <c r="C88" s="109"/>
      <c r="D88" s="109"/>
      <c r="E88" s="109"/>
      <c r="F88" s="109"/>
      <c r="G88" s="109"/>
      <c r="H88" s="109"/>
    </row>
    <row r="89" spans="1:8" ht="409.5">
      <c r="A89" s="109"/>
      <c r="B89" s="109"/>
      <c r="C89" s="109"/>
      <c r="D89" s="109"/>
      <c r="E89" s="109"/>
      <c r="F89" s="109"/>
      <c r="G89" s="109"/>
      <c r="H89" s="109"/>
    </row>
    <row r="90" spans="1:8" ht="409.5">
      <c r="A90" s="109"/>
      <c r="B90" s="109"/>
      <c r="C90" s="109"/>
      <c r="D90" s="109"/>
      <c r="E90" s="109"/>
      <c r="F90" s="109"/>
      <c r="G90" s="109"/>
      <c r="H90" s="109"/>
    </row>
    <row r="91" spans="1:8" ht="409.5">
      <c r="A91" s="109"/>
      <c r="B91" s="109"/>
      <c r="C91" s="109"/>
      <c r="D91" s="109"/>
      <c r="E91" s="109"/>
      <c r="F91" s="109"/>
      <c r="G91" s="109"/>
      <c r="H91" s="109"/>
    </row>
    <row r="92" spans="1:8" ht="409.5">
      <c r="A92" s="109"/>
      <c r="B92" s="109"/>
      <c r="C92" s="109"/>
      <c r="D92" s="109"/>
      <c r="E92" s="109"/>
      <c r="F92" s="109"/>
      <c r="G92" s="109"/>
      <c r="H92" s="109"/>
    </row>
    <row r="93" spans="1:8" ht="409.5">
      <c r="A93" s="109"/>
      <c r="B93" s="109"/>
      <c r="C93" s="109"/>
      <c r="D93" s="109"/>
      <c r="E93" s="109"/>
      <c r="F93" s="109"/>
      <c r="G93" s="109"/>
      <c r="H93" s="109"/>
    </row>
    <row r="94" spans="1:8" ht="409.5">
      <c r="A94" s="109"/>
      <c r="B94" s="109"/>
      <c r="C94" s="109"/>
      <c r="D94" s="109"/>
      <c r="E94" s="109"/>
      <c r="F94" s="109"/>
      <c r="G94" s="109"/>
      <c r="H94" s="109"/>
    </row>
    <row r="95" spans="1:8" ht="409.5">
      <c r="A95" s="109"/>
      <c r="B95" s="109"/>
      <c r="C95" s="109"/>
      <c r="D95" s="109"/>
      <c r="E95" s="109"/>
      <c r="F95" s="109"/>
      <c r="G95" s="109"/>
      <c r="H95" s="109"/>
    </row>
    <row r="96" spans="1:8" ht="409.5">
      <c r="A96" s="109"/>
      <c r="B96" s="109"/>
      <c r="C96" s="109"/>
      <c r="D96" s="109"/>
      <c r="E96" s="109"/>
      <c r="F96" s="109"/>
      <c r="G96" s="109"/>
      <c r="H96" s="109"/>
    </row>
    <row r="97" spans="1:8" ht="409.5">
      <c r="A97" s="109"/>
      <c r="B97" s="109"/>
      <c r="C97" s="109"/>
      <c r="D97" s="109"/>
      <c r="E97" s="109"/>
      <c r="F97" s="109"/>
      <c r="G97" s="109"/>
      <c r="H97" s="109"/>
    </row>
    <row r="98" spans="1:8" ht="409.5">
      <c r="A98" s="109"/>
      <c r="B98" s="109"/>
      <c r="C98" s="109"/>
      <c r="D98" s="109"/>
      <c r="E98" s="109"/>
      <c r="F98" s="109"/>
      <c r="G98" s="109"/>
      <c r="H98" s="109"/>
    </row>
    <row r="99" spans="1:8" ht="409.5">
      <c r="A99" s="109"/>
      <c r="B99" s="109"/>
      <c r="C99" s="109"/>
      <c r="D99" s="109"/>
      <c r="E99" s="109"/>
      <c r="F99" s="109"/>
      <c r="G99" s="109"/>
      <c r="H99" s="109"/>
    </row>
    <row r="100" spans="1:8" ht="409.5">
      <c r="A100" s="109"/>
      <c r="B100" s="109"/>
      <c r="C100" s="109"/>
      <c r="D100" s="109"/>
      <c r="E100" s="109"/>
      <c r="F100" s="109"/>
      <c r="G100" s="109"/>
      <c r="H100" s="109"/>
    </row>
    <row r="101" spans="1:8" ht="409.5">
      <c r="A101" s="109"/>
      <c r="B101" s="109"/>
      <c r="C101" s="109"/>
      <c r="D101" s="109"/>
      <c r="E101" s="109"/>
      <c r="F101" s="109"/>
      <c r="G101" s="109"/>
      <c r="H101" s="109"/>
    </row>
    <row r="102" spans="1:8" ht="409.5">
      <c r="A102" s="109"/>
      <c r="B102" s="109"/>
      <c r="C102" s="109"/>
      <c r="D102" s="109"/>
      <c r="E102" s="109"/>
      <c r="F102" s="109"/>
      <c r="G102" s="109"/>
      <c r="H102" s="109"/>
    </row>
    <row r="103" spans="1:8" ht="409.5">
      <c r="A103" s="109"/>
      <c r="B103" s="109"/>
      <c r="C103" s="109"/>
      <c r="D103" s="109"/>
      <c r="E103" s="109"/>
      <c r="F103" s="109"/>
      <c r="G103" s="109"/>
      <c r="H103" s="109"/>
    </row>
    <row r="104" spans="1:8" ht="409.5">
      <c r="A104" s="109"/>
      <c r="B104" s="109"/>
      <c r="C104" s="109"/>
      <c r="D104" s="109"/>
      <c r="E104" s="109"/>
      <c r="F104" s="109"/>
      <c r="G104" s="109"/>
      <c r="H104" s="109"/>
    </row>
    <row r="105" spans="1:8" ht="409.5">
      <c r="A105" s="109"/>
      <c r="B105" s="109"/>
      <c r="C105" s="109"/>
      <c r="D105" s="109"/>
      <c r="E105" s="109"/>
      <c r="F105" s="109"/>
      <c r="G105" s="109"/>
      <c r="H105" s="109"/>
    </row>
    <row r="106" spans="1:8" ht="409.5">
      <c r="A106" s="109"/>
      <c r="B106" s="109"/>
      <c r="C106" s="109"/>
      <c r="D106" s="109"/>
      <c r="E106" s="109"/>
      <c r="F106" s="109"/>
      <c r="G106" s="109"/>
      <c r="H106" s="109"/>
    </row>
    <row r="107" spans="1:8" ht="409.5">
      <c r="A107" s="109"/>
      <c r="B107" s="109"/>
      <c r="C107" s="109"/>
      <c r="D107" s="109"/>
      <c r="E107" s="109"/>
      <c r="F107" s="109"/>
      <c r="G107" s="109"/>
      <c r="H107" s="109"/>
    </row>
    <row r="108" spans="1:8" ht="409.5">
      <c r="A108" s="109"/>
      <c r="B108" s="109"/>
      <c r="C108" s="109"/>
      <c r="D108" s="109"/>
      <c r="E108" s="109"/>
      <c r="F108" s="109"/>
      <c r="G108" s="109"/>
      <c r="H108" s="109"/>
    </row>
    <row r="109" spans="1:8" ht="409.5">
      <c r="A109" s="109"/>
      <c r="B109" s="109"/>
      <c r="C109" s="109"/>
      <c r="D109" s="109"/>
      <c r="E109" s="109"/>
      <c r="F109" s="109"/>
      <c r="G109" s="109"/>
      <c r="H109" s="109"/>
    </row>
    <row r="110" spans="1:8" ht="409.5">
      <c r="A110" s="109"/>
      <c r="B110" s="109"/>
      <c r="C110" s="109"/>
      <c r="D110" s="109"/>
      <c r="E110" s="109"/>
      <c r="F110" s="109"/>
      <c r="G110" s="109"/>
      <c r="H110" s="109"/>
    </row>
    <row r="111" spans="1:8" ht="409.5">
      <c r="A111" s="109"/>
      <c r="B111" s="109"/>
      <c r="C111" s="109"/>
      <c r="D111" s="109"/>
      <c r="E111" s="109"/>
      <c r="F111" s="109"/>
      <c r="G111" s="109"/>
      <c r="H111" s="109"/>
    </row>
    <row r="112" spans="1:8" ht="409.5">
      <c r="A112" s="109"/>
      <c r="B112" s="109"/>
      <c r="C112" s="109"/>
      <c r="D112" s="109"/>
      <c r="E112" s="109"/>
      <c r="F112" s="109"/>
      <c r="G112" s="109"/>
      <c r="H112" s="109"/>
    </row>
    <row r="113" spans="1:8" ht="409.5">
      <c r="A113" s="109"/>
      <c r="B113" s="109"/>
      <c r="C113" s="109"/>
      <c r="D113" s="109"/>
      <c r="E113" s="109"/>
      <c r="F113" s="109"/>
      <c r="G113" s="109"/>
      <c r="H113" s="109"/>
    </row>
    <row r="114" spans="1:8" ht="409.5">
      <c r="A114" s="109"/>
      <c r="B114" s="109"/>
      <c r="C114" s="109"/>
      <c r="D114" s="109"/>
      <c r="E114" s="109"/>
      <c r="F114" s="109"/>
      <c r="G114" s="109"/>
      <c r="H114" s="109"/>
    </row>
  </sheetData>
  <sheetProtection sheet="1"/>
  <mergeCells count="7">
    <mergeCell ref="A11:H11"/>
    <mergeCell ref="A3:H3"/>
    <mergeCell ref="A5:H5"/>
    <mergeCell ref="A6:H6"/>
    <mergeCell ref="A7:H7"/>
    <mergeCell ref="A8:H8"/>
    <mergeCell ref="A9:H10"/>
  </mergeCells>
  <printOptions/>
  <pageMargins left="0.7874015748031497" right="0.5905511811023623" top="0.984251968503937" bottom="0.984251968503937" header="0.5118110236220472" footer="0.5118110236220472"/>
  <pageSetup horizontalDpi="600" verticalDpi="600" orientation="portrait" paperSize="9" scale="115" r:id="rId2"/>
  <drawing r:id="rId1"/>
</worksheet>
</file>

<file path=xl/worksheets/sheet2.xml><?xml version="1.0" encoding="utf-8"?>
<worksheet xmlns="http://schemas.openxmlformats.org/spreadsheetml/2006/main" xmlns:r="http://schemas.openxmlformats.org/officeDocument/2006/relationships">
  <sheetPr>
    <tabColor indexed="43"/>
  </sheetPr>
  <dimension ref="A1:A34"/>
  <sheetViews>
    <sheetView zoomScalePageLayoutView="0" workbookViewId="0" topLeftCell="A1">
      <selection activeCell="A1" sqref="A1"/>
    </sheetView>
  </sheetViews>
  <sheetFormatPr defaultColWidth="11.421875" defaultRowHeight="18" customHeight="1"/>
  <cols>
    <col min="1" max="1" width="84.00390625" style="308" customWidth="1"/>
    <col min="2" max="16384" width="11.421875" style="308" customWidth="1"/>
  </cols>
  <sheetData>
    <row r="1" ht="18" customHeight="1">
      <c r="A1" s="307" t="s">
        <v>335</v>
      </c>
    </row>
    <row r="2" ht="18" customHeight="1">
      <c r="A2" s="308" t="s">
        <v>336</v>
      </c>
    </row>
    <row r="3" ht="18" customHeight="1">
      <c r="A3" s="308" t="s">
        <v>337</v>
      </c>
    </row>
    <row r="4" ht="18" customHeight="1">
      <c r="A4" s="308" t="s">
        <v>338</v>
      </c>
    </row>
    <row r="5" ht="18" customHeight="1">
      <c r="A5" s="308" t="s">
        <v>339</v>
      </c>
    </row>
    <row r="6" ht="18" customHeight="1">
      <c r="A6" s="308" t="s">
        <v>340</v>
      </c>
    </row>
    <row r="7" ht="18" customHeight="1">
      <c r="A7" s="308" t="s">
        <v>341</v>
      </c>
    </row>
    <row r="8" ht="22.5" customHeight="1">
      <c r="A8" s="307" t="s">
        <v>342</v>
      </c>
    </row>
    <row r="9" ht="18" customHeight="1">
      <c r="A9" s="308" t="s">
        <v>343</v>
      </c>
    </row>
    <row r="10" ht="18" customHeight="1">
      <c r="A10" s="308" t="s">
        <v>344</v>
      </c>
    </row>
    <row r="11" ht="18" customHeight="1">
      <c r="A11" s="308" t="s">
        <v>345</v>
      </c>
    </row>
    <row r="12" ht="18" customHeight="1">
      <c r="A12" s="308" t="s">
        <v>346</v>
      </c>
    </row>
    <row r="13" ht="18" customHeight="1">
      <c r="A13" s="308" t="s">
        <v>347</v>
      </c>
    </row>
    <row r="14" ht="22.5" customHeight="1">
      <c r="A14" s="307" t="s">
        <v>348</v>
      </c>
    </row>
    <row r="15" ht="15" customHeight="1">
      <c r="A15" s="309" t="s">
        <v>349</v>
      </c>
    </row>
    <row r="16" ht="13.5" customHeight="1">
      <c r="A16" s="310" t="s">
        <v>350</v>
      </c>
    </row>
    <row r="17" ht="13.5" customHeight="1">
      <c r="A17" s="310" t="s">
        <v>351</v>
      </c>
    </row>
    <row r="18" ht="13.5" customHeight="1">
      <c r="A18" s="310" t="s">
        <v>352</v>
      </c>
    </row>
    <row r="19" ht="13.5" customHeight="1">
      <c r="A19" s="310" t="s">
        <v>353</v>
      </c>
    </row>
    <row r="20" ht="18" customHeight="1">
      <c r="A20" s="308" t="s">
        <v>354</v>
      </c>
    </row>
    <row r="21" ht="13.5" customHeight="1">
      <c r="A21" s="310" t="s">
        <v>355</v>
      </c>
    </row>
    <row r="22" ht="18" customHeight="1">
      <c r="A22" s="308" t="s">
        <v>364</v>
      </c>
    </row>
    <row r="23" ht="18" customHeight="1">
      <c r="A23" s="311" t="s">
        <v>356</v>
      </c>
    </row>
    <row r="24" ht="18" customHeight="1">
      <c r="A24" s="308" t="s">
        <v>357</v>
      </c>
    </row>
    <row r="25" ht="18" customHeight="1">
      <c r="A25" s="308" t="s">
        <v>358</v>
      </c>
    </row>
    <row r="26" ht="13.5" customHeight="1">
      <c r="A26" s="310" t="s">
        <v>359</v>
      </c>
    </row>
    <row r="27" ht="22.5" customHeight="1">
      <c r="A27" s="307" t="s">
        <v>360</v>
      </c>
    </row>
    <row r="28" ht="18" customHeight="1">
      <c r="A28" s="308" t="s">
        <v>354</v>
      </c>
    </row>
    <row r="29" ht="13.5" customHeight="1">
      <c r="A29" s="310" t="s">
        <v>355</v>
      </c>
    </row>
    <row r="30" ht="18" customHeight="1">
      <c r="A30" s="308" t="s">
        <v>361</v>
      </c>
    </row>
    <row r="31" ht="18" customHeight="1">
      <c r="A31" s="308" t="s">
        <v>357</v>
      </c>
    </row>
    <row r="32" ht="18" customHeight="1">
      <c r="A32" s="308" t="s">
        <v>362</v>
      </c>
    </row>
    <row r="33" ht="22.5" customHeight="1">
      <c r="A33" s="307" t="s">
        <v>363</v>
      </c>
    </row>
    <row r="34" ht="15">
      <c r="A34" s="307"/>
    </row>
  </sheetData>
  <sheetProtection sheet="1" objects="1" scenarios="1"/>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R48"/>
  <sheetViews>
    <sheetView zoomScalePageLayoutView="0" workbookViewId="0" topLeftCell="A1">
      <selection activeCell="B25" sqref="B25"/>
    </sheetView>
  </sheetViews>
  <sheetFormatPr defaultColWidth="11.421875" defaultRowHeight="12.75"/>
  <cols>
    <col min="1" max="1" width="12.7109375" style="331" customWidth="1"/>
    <col min="2" max="2" width="11.7109375" style="331" customWidth="1"/>
    <col min="3" max="3" width="2.7109375" style="331" customWidth="1"/>
    <col min="4" max="5" width="1.7109375" style="331" customWidth="1"/>
    <col min="6" max="6" width="22.7109375" style="331" customWidth="1"/>
    <col min="7" max="8" width="12.7109375" style="331" customWidth="1"/>
    <col min="9" max="9" width="9.7109375" style="331" customWidth="1"/>
    <col min="10" max="11" width="2.7109375" style="331" customWidth="1"/>
    <col min="12" max="12" width="13.00390625" style="331" customWidth="1"/>
    <col min="13" max="13" width="11.57421875" style="331" bestFit="1" customWidth="1"/>
    <col min="14" max="14" width="11.421875" style="331" customWidth="1"/>
    <col min="15" max="15" width="2.7109375" style="331" customWidth="1"/>
    <col min="16" max="16384" width="11.421875" style="331" customWidth="1"/>
  </cols>
  <sheetData>
    <row r="1" spans="1:12" ht="15" customHeight="1">
      <c r="A1" s="450" t="s">
        <v>399</v>
      </c>
      <c r="B1" s="451"/>
      <c r="C1" s="439" t="s">
        <v>400</v>
      </c>
      <c r="D1" s="440"/>
      <c r="E1" s="440"/>
      <c r="F1" s="440"/>
      <c r="G1" s="441"/>
      <c r="H1" s="328" t="s">
        <v>401</v>
      </c>
      <c r="I1" s="329"/>
      <c r="J1" s="330"/>
      <c r="L1" s="332"/>
    </row>
    <row r="2" spans="1:12" ht="15" customHeight="1">
      <c r="A2" s="452"/>
      <c r="B2" s="453"/>
      <c r="C2" s="442"/>
      <c r="D2" s="443"/>
      <c r="E2" s="443"/>
      <c r="F2" s="443"/>
      <c r="G2" s="444"/>
      <c r="H2" s="333" t="s">
        <v>402</v>
      </c>
      <c r="I2" s="334">
        <v>1</v>
      </c>
      <c r="J2" s="335"/>
      <c r="L2" s="332"/>
    </row>
    <row r="3" spans="1:12" ht="15" customHeight="1">
      <c r="A3" s="336"/>
      <c r="B3" s="337"/>
      <c r="C3" s="445"/>
      <c r="D3" s="446"/>
      <c r="E3" s="446"/>
      <c r="F3" s="446"/>
      <c r="G3" s="447"/>
      <c r="H3" s="338" t="s">
        <v>403</v>
      </c>
      <c r="I3" s="448">
        <v>41519</v>
      </c>
      <c r="J3" s="449"/>
      <c r="L3" s="332"/>
    </row>
    <row r="4" spans="5:12" s="339" customFormat="1" ht="24" customHeight="1">
      <c r="E4" s="340"/>
      <c r="F4" s="340"/>
      <c r="G4" s="340"/>
      <c r="H4" s="340"/>
      <c r="I4" s="340"/>
      <c r="J4" s="340"/>
      <c r="K4" s="340"/>
      <c r="L4" s="341"/>
    </row>
    <row r="5" spans="1:12" s="339" customFormat="1" ht="16.5" customHeight="1">
      <c r="A5" s="342" t="s">
        <v>404</v>
      </c>
      <c r="E5" s="340"/>
      <c r="F5" s="343"/>
      <c r="G5" s="343"/>
      <c r="H5" s="343"/>
      <c r="I5" s="343"/>
      <c r="J5" s="343"/>
      <c r="K5" s="340"/>
      <c r="L5" s="341"/>
    </row>
    <row r="6" spans="1:12" s="339" customFormat="1" ht="16.5" customHeight="1">
      <c r="A6" s="342" t="s">
        <v>405</v>
      </c>
      <c r="E6" s="340"/>
      <c r="F6" s="344"/>
      <c r="G6" s="344"/>
      <c r="H6" s="344"/>
      <c r="I6" s="344"/>
      <c r="J6" s="344"/>
      <c r="K6" s="340"/>
      <c r="L6" s="341"/>
    </row>
    <row r="7" spans="1:12" s="339" customFormat="1" ht="16.5" customHeight="1">
      <c r="A7" s="342" t="s">
        <v>406</v>
      </c>
      <c r="E7" s="340"/>
      <c r="F7" s="344"/>
      <c r="G7" s="344"/>
      <c r="H7" s="344"/>
      <c r="I7" s="344"/>
      <c r="J7" s="344"/>
      <c r="K7" s="340"/>
      <c r="L7" s="341"/>
    </row>
    <row r="8" spans="1:12" s="339" customFormat="1" ht="16.5" customHeight="1">
      <c r="A8" s="342" t="s">
        <v>407</v>
      </c>
      <c r="E8" s="340"/>
      <c r="F8" s="345"/>
      <c r="G8" s="344"/>
      <c r="H8" s="344"/>
      <c r="I8" s="344"/>
      <c r="J8" s="344"/>
      <c r="K8" s="340"/>
      <c r="L8" s="341"/>
    </row>
    <row r="9" spans="1:12" s="339" customFormat="1" ht="24" customHeight="1">
      <c r="A9" s="342" t="s">
        <v>38</v>
      </c>
      <c r="E9" s="340"/>
      <c r="F9" s="344"/>
      <c r="G9" s="344"/>
      <c r="H9" s="344"/>
      <c r="I9" s="344"/>
      <c r="J9" s="344"/>
      <c r="K9" s="340"/>
      <c r="L9" s="341"/>
    </row>
    <row r="10" spans="1:12" s="339" customFormat="1" ht="16.5" customHeight="1">
      <c r="A10" s="342"/>
      <c r="E10" s="340"/>
      <c r="F10" s="344"/>
      <c r="G10" s="344"/>
      <c r="H10" s="344"/>
      <c r="I10" s="344"/>
      <c r="J10" s="344"/>
      <c r="K10" s="340"/>
      <c r="L10" s="341"/>
    </row>
    <row r="11" spans="1:15" s="339" customFormat="1" ht="16.5" customHeight="1">
      <c r="A11" s="342"/>
      <c r="E11" s="340"/>
      <c r="F11" s="340"/>
      <c r="G11" s="340"/>
      <c r="H11" s="340"/>
      <c r="I11" s="340"/>
      <c r="J11" s="340"/>
      <c r="K11" s="340"/>
      <c r="L11" s="346"/>
      <c r="M11" s="347"/>
      <c r="N11" s="347"/>
      <c r="O11" s="347"/>
    </row>
    <row r="12" spans="1:12" ht="14.25">
      <c r="A12" s="339"/>
      <c r="B12" s="339"/>
      <c r="C12" s="339"/>
      <c r="D12" s="339"/>
      <c r="E12" s="339"/>
      <c r="F12" s="339"/>
      <c r="G12" s="339"/>
      <c r="H12" s="339"/>
      <c r="I12" s="339"/>
      <c r="J12" s="339"/>
      <c r="L12" s="332"/>
    </row>
    <row r="13" spans="1:12" ht="14.25" customHeight="1">
      <c r="A13" s="348" t="s">
        <v>408</v>
      </c>
      <c r="B13" s="339"/>
      <c r="C13" s="349"/>
      <c r="D13" s="350"/>
      <c r="E13" s="339"/>
      <c r="F13" s="351" t="s">
        <v>409</v>
      </c>
      <c r="J13" s="339"/>
      <c r="L13" s="352" t="s">
        <v>410</v>
      </c>
    </row>
    <row r="14" spans="1:18" s="353" customFormat="1" ht="15" customHeight="1">
      <c r="A14" s="348" t="s">
        <v>411</v>
      </c>
      <c r="B14" s="339"/>
      <c r="C14" s="349"/>
      <c r="D14" s="350"/>
      <c r="E14" s="339"/>
      <c r="F14" s="331" t="s">
        <v>412</v>
      </c>
      <c r="G14" s="331"/>
      <c r="H14" s="331"/>
      <c r="J14" s="339"/>
      <c r="K14" s="331"/>
      <c r="L14" s="352" t="s">
        <v>413</v>
      </c>
      <c r="M14" s="331"/>
      <c r="N14" s="331"/>
      <c r="R14" s="339"/>
    </row>
    <row r="15" spans="1:18" s="353" customFormat="1" ht="15" customHeight="1">
      <c r="A15" s="339"/>
      <c r="B15" s="339"/>
      <c r="C15" s="349"/>
      <c r="D15" s="350"/>
      <c r="E15" s="339"/>
      <c r="F15" s="353" t="s">
        <v>414</v>
      </c>
      <c r="G15" s="354">
        <v>5</v>
      </c>
      <c r="J15" s="339"/>
      <c r="K15" s="331"/>
      <c r="L15" s="355" t="s">
        <v>415</v>
      </c>
      <c r="M15" s="331"/>
      <c r="N15" s="331"/>
      <c r="R15" s="339"/>
    </row>
    <row r="16" spans="1:18" s="353" customFormat="1" ht="15" customHeight="1">
      <c r="A16" s="356" t="s">
        <v>416</v>
      </c>
      <c r="B16" s="357"/>
      <c r="C16" s="353" t="s">
        <v>4</v>
      </c>
      <c r="D16" s="358">
        <f aca="true" t="shared" si="0" ref="D16:D25">IF(ISBLANK(B16),"",1*B16)</f>
      </c>
      <c r="E16" s="359"/>
      <c r="J16" s="339"/>
      <c r="K16" s="331"/>
      <c r="L16" s="332" t="s">
        <v>417</v>
      </c>
      <c r="R16" s="360"/>
    </row>
    <row r="17" spans="1:18" s="353" customFormat="1" ht="15" customHeight="1">
      <c r="A17" s="356" t="s">
        <v>418</v>
      </c>
      <c r="B17" s="357"/>
      <c r="C17" s="353" t="s">
        <v>4</v>
      </c>
      <c r="D17" s="358">
        <f t="shared" si="0"/>
      </c>
      <c r="E17" s="359"/>
      <c r="F17" s="339" t="s">
        <v>419</v>
      </c>
      <c r="G17" s="339"/>
      <c r="H17" s="339"/>
      <c r="J17" s="339"/>
      <c r="K17" s="331"/>
      <c r="L17" s="332" t="s">
        <v>420</v>
      </c>
      <c r="M17" s="331"/>
      <c r="N17" s="331"/>
      <c r="R17" s="339"/>
    </row>
    <row r="18" spans="1:18" ht="15" customHeight="1">
      <c r="A18" s="356" t="s">
        <v>421</v>
      </c>
      <c r="B18" s="357"/>
      <c r="C18" s="331" t="s">
        <v>4</v>
      </c>
      <c r="D18" s="358">
        <f t="shared" si="0"/>
      </c>
      <c r="E18" s="359"/>
      <c r="F18" s="339" t="s">
        <v>422</v>
      </c>
      <c r="G18" s="339"/>
      <c r="H18" s="339"/>
      <c r="J18" s="339"/>
      <c r="L18" s="332" t="s">
        <v>423</v>
      </c>
      <c r="R18" s="359"/>
    </row>
    <row r="19" spans="1:18" ht="15" customHeight="1">
      <c r="A19" s="356" t="s">
        <v>424</v>
      </c>
      <c r="B19" s="357"/>
      <c r="C19" s="331" t="s">
        <v>4</v>
      </c>
      <c r="D19" s="358">
        <f t="shared" si="0"/>
      </c>
      <c r="E19" s="359"/>
      <c r="F19" s="339" t="s">
        <v>440</v>
      </c>
      <c r="G19" s="339"/>
      <c r="H19" s="339"/>
      <c r="I19" s="359"/>
      <c r="J19" s="361"/>
      <c r="L19" s="332"/>
      <c r="R19" s="339"/>
    </row>
    <row r="20" spans="1:12" ht="15" customHeight="1">
      <c r="A20" s="356" t="s">
        <v>425</v>
      </c>
      <c r="B20" s="357"/>
      <c r="C20" s="331" t="s">
        <v>4</v>
      </c>
      <c r="D20" s="358">
        <f t="shared" si="0"/>
      </c>
      <c r="E20" s="339"/>
      <c r="J20" s="339"/>
      <c r="L20" s="362" t="s">
        <v>426</v>
      </c>
    </row>
    <row r="21" spans="1:13" ht="15" customHeight="1">
      <c r="A21" s="356" t="s">
        <v>427</v>
      </c>
      <c r="B21" s="357"/>
      <c r="C21" s="331" t="s">
        <v>4</v>
      </c>
      <c r="D21" s="358">
        <f t="shared" si="0"/>
      </c>
      <c r="E21" s="339"/>
      <c r="F21" s="363" t="s">
        <v>441</v>
      </c>
      <c r="G21" s="364"/>
      <c r="H21" s="339" t="s">
        <v>4</v>
      </c>
      <c r="J21" s="359"/>
      <c r="L21" s="332" t="s">
        <v>428</v>
      </c>
      <c r="M21" s="365">
        <f>COUNT(D16:D25)</f>
        <v>0</v>
      </c>
    </row>
    <row r="22" spans="1:13" ht="15" customHeight="1">
      <c r="A22" s="356" t="s">
        <v>429</v>
      </c>
      <c r="B22" s="357"/>
      <c r="C22" s="331" t="s">
        <v>4</v>
      </c>
      <c r="D22" s="358">
        <f t="shared" si="0"/>
      </c>
      <c r="E22" s="339"/>
      <c r="F22" s="363" t="s">
        <v>442</v>
      </c>
      <c r="G22" s="364"/>
      <c r="H22" s="360" t="s">
        <v>430</v>
      </c>
      <c r="J22" s="339"/>
      <c r="L22" s="332" t="s">
        <v>431</v>
      </c>
      <c r="M22" s="366">
        <f>IF(ISERROR(AVERAGE(D16:D25)),"",FIXED(AVERAGE(D16:D25),G15))</f>
      </c>
    </row>
    <row r="23" spans="1:13" ht="15" customHeight="1">
      <c r="A23" s="356" t="s">
        <v>432</v>
      </c>
      <c r="B23" s="357"/>
      <c r="C23" s="331" t="s">
        <v>4</v>
      </c>
      <c r="D23" s="358">
        <f t="shared" si="0"/>
      </c>
      <c r="E23" s="339"/>
      <c r="F23" s="348"/>
      <c r="G23" s="339"/>
      <c r="H23" s="339"/>
      <c r="J23" s="359"/>
      <c r="L23" s="332" t="s">
        <v>433</v>
      </c>
      <c r="M23" s="367">
        <f>IF(ISERROR(STDEV(D16:D25)),"",FIXED(STDEV(D16:D25),G15+1))</f>
      </c>
    </row>
    <row r="24" spans="1:12" ht="15" customHeight="1">
      <c r="A24" s="356" t="s">
        <v>434</v>
      </c>
      <c r="B24" s="368"/>
      <c r="C24" s="331" t="s">
        <v>4</v>
      </c>
      <c r="D24" s="358">
        <f t="shared" si="0"/>
      </c>
      <c r="E24" s="339"/>
      <c r="J24" s="359"/>
      <c r="K24" s="353"/>
      <c r="L24" s="332"/>
    </row>
    <row r="25" spans="1:12" ht="15" customHeight="1">
      <c r="A25" s="356" t="s">
        <v>435</v>
      </c>
      <c r="B25" s="368"/>
      <c r="C25" s="332" t="s">
        <v>4</v>
      </c>
      <c r="D25" s="358">
        <f t="shared" si="0"/>
      </c>
      <c r="E25" s="339"/>
      <c r="J25" s="369"/>
      <c r="L25" s="332"/>
    </row>
    <row r="26" spans="4:12" ht="14.25" customHeight="1">
      <c r="D26" s="358"/>
      <c r="E26" s="339"/>
      <c r="J26" s="369"/>
      <c r="L26" s="332"/>
    </row>
    <row r="27" spans="1:12" ht="14.25" customHeight="1">
      <c r="A27" s="347"/>
      <c r="B27" s="370"/>
      <c r="C27" s="347"/>
      <c r="D27" s="347"/>
      <c r="E27" s="347"/>
      <c r="F27" s="347"/>
      <c r="G27" s="347"/>
      <c r="H27" s="347"/>
      <c r="I27" s="347"/>
      <c r="J27" s="339"/>
      <c r="K27" s="339"/>
      <c r="L27" s="332"/>
    </row>
    <row r="28" spans="1:12" ht="12.75" customHeight="1">
      <c r="A28" s="339"/>
      <c r="B28" s="371"/>
      <c r="C28" s="339"/>
      <c r="D28" s="339"/>
      <c r="E28" s="339"/>
      <c r="F28" s="339"/>
      <c r="G28" s="339"/>
      <c r="H28" s="339"/>
      <c r="I28" s="339"/>
      <c r="J28" s="339"/>
      <c r="K28" s="339"/>
      <c r="L28" s="332"/>
    </row>
    <row r="29" spans="1:12" ht="15">
      <c r="A29" s="372" t="s">
        <v>436</v>
      </c>
      <c r="B29" s="339"/>
      <c r="C29" s="339"/>
      <c r="D29" s="339"/>
      <c r="E29" s="339"/>
      <c r="F29" s="339"/>
      <c r="G29" s="339"/>
      <c r="H29" s="339"/>
      <c r="I29" s="339"/>
      <c r="J29" s="339"/>
      <c r="L29" s="332"/>
    </row>
    <row r="30" spans="1:12" ht="6" customHeight="1">
      <c r="A30" s="339"/>
      <c r="B30" s="339"/>
      <c r="C30" s="339"/>
      <c r="D30" s="339"/>
      <c r="E30" s="339"/>
      <c r="F30" s="339"/>
      <c r="G30" s="339"/>
      <c r="H30" s="339"/>
      <c r="I30" s="339"/>
      <c r="J30" s="339"/>
      <c r="L30" s="332"/>
    </row>
    <row r="31" spans="1:12" ht="14.25" customHeight="1">
      <c r="A31" s="339" t="s">
        <v>437</v>
      </c>
      <c r="B31" s="339"/>
      <c r="C31" s="339"/>
      <c r="D31" s="339"/>
      <c r="E31" s="339"/>
      <c r="F31" s="339"/>
      <c r="G31" s="339"/>
      <c r="H31" s="339"/>
      <c r="I31" s="339"/>
      <c r="J31" s="339"/>
      <c r="L31" s="332"/>
    </row>
    <row r="32" spans="1:12" ht="24" customHeight="1">
      <c r="A32" s="373"/>
      <c r="B32" s="339"/>
      <c r="C32" s="339"/>
      <c r="D32" s="339"/>
      <c r="E32" s="339"/>
      <c r="F32" s="339"/>
      <c r="G32" s="339"/>
      <c r="H32" s="339"/>
      <c r="I32" s="339"/>
      <c r="J32" s="339"/>
      <c r="L32" s="332"/>
    </row>
    <row r="33" spans="1:12" ht="12.75" customHeight="1">
      <c r="A33" s="373" t="s">
        <v>438</v>
      </c>
      <c r="B33" s="339"/>
      <c r="C33" s="339"/>
      <c r="D33" s="339"/>
      <c r="E33" s="339"/>
      <c r="F33" s="339"/>
      <c r="G33" s="339"/>
      <c r="H33" s="339"/>
      <c r="I33" s="339"/>
      <c r="J33" s="339"/>
      <c r="L33" s="332"/>
    </row>
    <row r="34" spans="1:12" ht="24" customHeight="1" thickBot="1">
      <c r="A34" s="374">
        <f>IF(M21&lt;10,"",IF(OR(ISBLANK(G21),ISBLANK(G22)),M22&amp;"g     ± "&amp;" ???",M22&amp;"g     ± "&amp;FIXED(2*((M23*1000)^2+((G21+G22*M22)/2*1000)^2)^0.5,G15-2)&amp;" mg"))</f>
      </c>
      <c r="B34" s="375"/>
      <c r="C34" s="375"/>
      <c r="D34" s="339"/>
      <c r="E34" s="339"/>
      <c r="F34" s="339" t="str">
        <f>IF(M21&lt;10,"Bitte 10 ermittelte Wägewerte angeben",IF(AND(ISBLANK(G21),ISBLANK(G22)),"ACHTUNG: Die Kalibrierdaten der Waage fehlen!",IF(OR(ISBLANK(G21),ISBLANK(G22)),"ACHTUNG: Die Kalibrierdaten der Waage sind unvollständig!","")))</f>
        <v>Bitte 10 ermittelte Wägewerte angeben</v>
      </c>
      <c r="G34" s="339"/>
      <c r="H34" s="339"/>
      <c r="I34" s="339"/>
      <c r="J34" s="339"/>
      <c r="L34" s="332"/>
    </row>
    <row r="35" spans="1:13" ht="14.25" customHeight="1" thickTop="1">
      <c r="A35" s="437">
        <f>IF(OR(M21&lt;10,ISBLANK(G21),ISBLANK(G22)),"","Die angegebene Messunsicherheit bezieht sich auf die Kombination aus Massestück und angewendeter Waage.")</f>
      </c>
      <c r="B35" s="438"/>
      <c r="C35" s="438"/>
      <c r="D35" s="438"/>
      <c r="E35" s="438"/>
      <c r="F35" s="438"/>
      <c r="G35" s="438"/>
      <c r="H35" s="438"/>
      <c r="I35" s="438"/>
      <c r="J35" s="339"/>
      <c r="L35" s="332"/>
      <c r="M35" s="353"/>
    </row>
    <row r="36" spans="1:13" ht="14.25" customHeight="1">
      <c r="A36" s="373"/>
      <c r="B36" s="339"/>
      <c r="C36" s="339"/>
      <c r="D36" s="339"/>
      <c r="E36" s="339"/>
      <c r="F36" s="339"/>
      <c r="G36" s="339"/>
      <c r="H36" s="339"/>
      <c r="I36" s="339"/>
      <c r="J36" s="339"/>
      <c r="L36" s="332"/>
      <c r="M36" s="353"/>
    </row>
    <row r="37" spans="1:13" ht="14.25" customHeight="1">
      <c r="A37" s="373"/>
      <c r="B37" s="339"/>
      <c r="C37" s="339"/>
      <c r="D37" s="339"/>
      <c r="E37" s="339"/>
      <c r="F37" s="339"/>
      <c r="G37" s="339"/>
      <c r="H37" s="339"/>
      <c r="I37" s="339"/>
      <c r="J37" s="339"/>
      <c r="L37" s="332"/>
      <c r="M37" s="353"/>
    </row>
    <row r="38" spans="1:13" ht="14.25" customHeight="1">
      <c r="A38" s="373"/>
      <c r="B38" s="339"/>
      <c r="C38" s="339"/>
      <c r="D38" s="339"/>
      <c r="E38" s="339"/>
      <c r="F38" s="339"/>
      <c r="G38" s="339"/>
      <c r="H38" s="339"/>
      <c r="I38" s="339"/>
      <c r="J38" s="339"/>
      <c r="L38" s="332"/>
      <c r="M38" s="353"/>
    </row>
    <row r="39" spans="1:13" ht="14.25" customHeight="1">
      <c r="A39" s="373"/>
      <c r="B39" s="373"/>
      <c r="C39" s="376"/>
      <c r="D39" s="376"/>
      <c r="E39" s="339"/>
      <c r="F39" s="339"/>
      <c r="G39" s="339"/>
      <c r="H39" s="339"/>
      <c r="I39" s="339"/>
      <c r="J39" s="339"/>
      <c r="L39" s="332"/>
      <c r="M39" s="353"/>
    </row>
    <row r="40" spans="1:12" ht="409.5">
      <c r="A40" s="329" t="s">
        <v>439</v>
      </c>
      <c r="B40" s="329"/>
      <c r="C40" s="339"/>
      <c r="D40" s="339"/>
      <c r="E40" s="339"/>
      <c r="F40" s="339"/>
      <c r="G40" s="339"/>
      <c r="H40" s="339"/>
      <c r="I40" s="339"/>
      <c r="J40" s="339"/>
      <c r="L40" s="332"/>
    </row>
    <row r="41" spans="3:12" ht="14.25" customHeight="1">
      <c r="C41" s="339"/>
      <c r="D41" s="339"/>
      <c r="E41" s="339"/>
      <c r="L41" s="332"/>
    </row>
    <row r="42" spans="1:13" ht="14.25" customHeight="1">
      <c r="A42" s="329"/>
      <c r="B42" s="329"/>
      <c r="C42" s="329"/>
      <c r="D42" s="329"/>
      <c r="E42" s="329"/>
      <c r="F42" s="329"/>
      <c r="G42" s="329"/>
      <c r="H42" s="329"/>
      <c r="I42" s="329"/>
      <c r="J42" s="329"/>
      <c r="K42" s="329"/>
      <c r="L42" s="340"/>
      <c r="M42" s="339"/>
    </row>
    <row r="43" spans="3:13" ht="409.5">
      <c r="C43" s="339"/>
      <c r="D43" s="339"/>
      <c r="E43" s="339"/>
      <c r="F43" s="340"/>
      <c r="G43" s="340"/>
      <c r="H43" s="340"/>
      <c r="I43" s="340"/>
      <c r="J43" s="340"/>
      <c r="K43" s="340"/>
      <c r="L43" s="340"/>
      <c r="M43" s="339"/>
    </row>
    <row r="44" spans="3:13" s="353" customFormat="1" ht="21.75" customHeight="1">
      <c r="C44" s="359"/>
      <c r="D44" s="359"/>
      <c r="E44" s="359"/>
      <c r="F44" s="340"/>
      <c r="G44" s="340"/>
      <c r="H44" s="340"/>
      <c r="I44" s="340"/>
      <c r="J44" s="340"/>
      <c r="K44" s="340"/>
      <c r="L44" s="331"/>
      <c r="M44" s="331"/>
    </row>
    <row r="45" ht="21" customHeight="1"/>
    <row r="46" ht="6" customHeight="1"/>
    <row r="47" spans="5:13" s="339" customFormat="1" ht="19.5" customHeight="1">
      <c r="E47" s="340"/>
      <c r="F47" s="331"/>
      <c r="G47" s="331"/>
      <c r="H47" s="331"/>
      <c r="I47" s="331"/>
      <c r="J47" s="331"/>
      <c r="K47" s="331"/>
      <c r="L47" s="331"/>
      <c r="M47" s="331"/>
    </row>
    <row r="48" spans="5:13" s="339" customFormat="1" ht="15.75" customHeight="1">
      <c r="E48" s="340"/>
      <c r="F48" s="331"/>
      <c r="G48" s="331"/>
      <c r="H48" s="331"/>
      <c r="I48" s="331"/>
      <c r="J48" s="331"/>
      <c r="K48" s="331"/>
      <c r="L48" s="331"/>
      <c r="M48" s="331"/>
    </row>
    <row r="49" ht="10.5" customHeight="1"/>
    <row r="50" ht="14.25" customHeight="1"/>
    <row r="51" ht="14.25" customHeight="1"/>
    <row r="52" ht="12.75" customHeight="1"/>
    <row r="53" ht="12.75" customHeight="1"/>
    <row r="54" ht="6" customHeight="1"/>
    <row r="55" ht="12.75" customHeight="1"/>
    <row r="56" ht="6" customHeight="1"/>
    <row r="57" ht="12.75" customHeight="1"/>
    <row r="58" ht="12.75" customHeight="1"/>
    <row r="59" ht="16.5" customHeight="1"/>
    <row r="60" ht="6" customHeight="1"/>
    <row r="61" ht="16.5" customHeight="1"/>
    <row r="62" ht="14.25" customHeight="1"/>
    <row r="63" ht="14.25" customHeight="1"/>
    <row r="64" ht="14.25" customHeight="1"/>
    <row r="65" ht="14.25" customHeight="1"/>
  </sheetData>
  <sheetProtection sheet="1" objects="1" scenarios="1" selectLockedCells="1"/>
  <mergeCells count="4">
    <mergeCell ref="A35:I35"/>
    <mergeCell ref="C1:G3"/>
    <mergeCell ref="I3:J3"/>
    <mergeCell ref="A1:B2"/>
  </mergeCells>
  <conditionalFormatting sqref="A35 A38:A39 B39:D39">
    <cfRule type="cellIs" priority="1" dxfId="11" operator="equal" stopIfTrue="1">
      <formula>"Die Masse des Prüfgegenstandes liegt außerhalb der Toleranzanforderung"</formula>
    </cfRule>
    <cfRule type="cellIs" priority="2" dxfId="10" operator="equal" stopIfTrue="1">
      <formula>"Die Masse des Prüfgegenstandes erfüllt die Toleranzanforderung"</formula>
    </cfRule>
  </conditionalFormatting>
  <conditionalFormatting sqref="A34">
    <cfRule type="cellIs" priority="3" dxfId="11" operator="equal" stopIfTrue="1">
      <formula>"Die Masse des geprüften Massestückes liegt außerhalb der Toleranzanforderung"</formula>
    </cfRule>
    <cfRule type="cellIs" priority="4" dxfId="10" operator="equal" stopIfTrue="1">
      <formula>"Die Masse des geprüften Massestückes erfüllt die Toleranzanforderung"</formula>
    </cfRule>
  </conditionalFormatting>
  <conditionalFormatting sqref="A36:A37">
    <cfRule type="cellIs" priority="5" dxfId="11" operator="equal" stopIfTrue="1">
      <formula>"Die Masse des Prüfgegenstandes liegt außerhalb der Toleranzanforderung"</formula>
    </cfRule>
    <cfRule type="cellIs" priority="6" dxfId="10" operator="equal" stopIfTrue="1">
      <formula>"Die Masse des Prüfgegenstandes erfüllt die Toleranzanforderung"</formula>
    </cfRule>
  </conditionalFormatting>
  <printOptions/>
  <pageMargins left="0.7874015748031497" right="0.1968503937007874" top="0.3937007874015748" bottom="0.984251968503937" header="0.3937007874015748" footer="0.5118110236220472"/>
  <pageSetup horizontalDpi="600" verticalDpi="600" orientation="portrait" paperSize="9" r:id="rId2"/>
  <headerFooter alignWithMargins="0">
    <oddFooter>&amp;R&amp;8&amp;F; &amp;A</oddFooter>
  </headerFooter>
  <drawing r:id="rId1"/>
</worksheet>
</file>

<file path=xl/worksheets/sheet4.xml><?xml version="1.0" encoding="utf-8"?>
<worksheet xmlns="http://schemas.openxmlformats.org/spreadsheetml/2006/main" xmlns:r="http://schemas.openxmlformats.org/officeDocument/2006/relationships">
  <sheetPr codeName="Tabelle7">
    <tabColor indexed="44"/>
    <pageSetUpPr fitToPage="1"/>
  </sheetPr>
  <dimension ref="A1:AG191"/>
  <sheetViews>
    <sheetView workbookViewId="0" topLeftCell="A1">
      <selection activeCell="B6" sqref="B6:D6"/>
    </sheetView>
  </sheetViews>
  <sheetFormatPr defaultColWidth="12.7109375" defaultRowHeight="12.75"/>
  <cols>
    <col min="1" max="1" width="18.57421875" style="8" customWidth="1"/>
    <col min="2" max="2" width="4.7109375" style="8" customWidth="1"/>
    <col min="3" max="9" width="11.28125" style="8" customWidth="1"/>
    <col min="10" max="10" width="11.7109375" style="8" customWidth="1"/>
    <col min="11" max="12" width="0.71875" style="8" customWidth="1"/>
    <col min="13" max="13" width="10.7109375" style="8" customWidth="1"/>
    <col min="14" max="14" width="8.7109375" style="8" customWidth="1"/>
    <col min="15" max="15" width="11.7109375" style="8" customWidth="1"/>
    <col min="16" max="16" width="12.7109375" style="8" customWidth="1"/>
    <col min="17" max="18" width="12.7109375" style="11" customWidth="1"/>
    <col min="19" max="16384" width="12.7109375" style="8" customWidth="1"/>
  </cols>
  <sheetData>
    <row r="1" spans="1:14" ht="15.75" customHeight="1">
      <c r="A1" s="62" t="s">
        <v>0</v>
      </c>
      <c r="B1" s="48"/>
      <c r="C1" s="48"/>
      <c r="D1" s="48"/>
      <c r="E1" s="48"/>
      <c r="F1" s="48"/>
      <c r="G1" s="48"/>
      <c r="H1" s="48" t="s">
        <v>478</v>
      </c>
      <c r="I1" s="48"/>
      <c r="J1" s="63"/>
      <c r="K1" s="9"/>
      <c r="M1" s="10" t="s">
        <v>44</v>
      </c>
      <c r="N1" s="273" t="s">
        <v>242</v>
      </c>
    </row>
    <row r="2" spans="1:13" ht="15.75" customHeight="1">
      <c r="A2" s="12" t="s">
        <v>2</v>
      </c>
      <c r="K2" s="9"/>
      <c r="M2" s="13" t="s">
        <v>39</v>
      </c>
    </row>
    <row r="3" spans="1:13" ht="12.75">
      <c r="A3" s="8" t="s">
        <v>1</v>
      </c>
      <c r="K3" s="9"/>
      <c r="M3" s="13" t="s">
        <v>40</v>
      </c>
    </row>
    <row r="4" spans="1:13" ht="12.75">
      <c r="A4" s="7" t="s">
        <v>244</v>
      </c>
      <c r="B4" s="14"/>
      <c r="C4" s="14"/>
      <c r="D4" s="14"/>
      <c r="E4" s="14"/>
      <c r="F4" s="14"/>
      <c r="G4" s="14"/>
      <c r="H4" s="14"/>
      <c r="I4" s="14"/>
      <c r="J4" s="14"/>
      <c r="K4" s="9"/>
      <c r="M4" s="13" t="s">
        <v>43</v>
      </c>
    </row>
    <row r="5" spans="1:13" ht="9" customHeight="1">
      <c r="A5" s="14"/>
      <c r="B5" s="14"/>
      <c r="C5" s="14"/>
      <c r="D5" s="14"/>
      <c r="E5" s="14"/>
      <c r="F5" s="14"/>
      <c r="G5" s="14"/>
      <c r="H5" s="14"/>
      <c r="I5" s="14"/>
      <c r="J5" s="14"/>
      <c r="K5" s="9"/>
      <c r="M5" s="13"/>
    </row>
    <row r="6" spans="1:11" ht="15.75" customHeight="1">
      <c r="A6" s="7" t="s">
        <v>26</v>
      </c>
      <c r="B6" s="455"/>
      <c r="C6" s="456"/>
      <c r="D6" s="456"/>
      <c r="E6" s="53"/>
      <c r="F6" s="50" t="s">
        <v>62</v>
      </c>
      <c r="J6" s="53"/>
      <c r="K6" s="9"/>
    </row>
    <row r="7" spans="1:13" ht="15.75" customHeight="1">
      <c r="A7" s="52" t="s">
        <v>78</v>
      </c>
      <c r="B7" s="49"/>
      <c r="C7" s="69"/>
      <c r="D7" s="88"/>
      <c r="E7" s="53"/>
      <c r="F7" s="52" t="s">
        <v>68</v>
      </c>
      <c r="G7" s="85"/>
      <c r="H7" s="85"/>
      <c r="I7" s="471"/>
      <c r="J7" s="464"/>
      <c r="K7" s="9"/>
      <c r="M7" s="26" t="s">
        <v>65</v>
      </c>
    </row>
    <row r="8" spans="5:13" ht="15.75" customHeight="1" thickBot="1">
      <c r="E8" s="14"/>
      <c r="F8" s="12" t="s">
        <v>69</v>
      </c>
      <c r="G8" s="85"/>
      <c r="I8" s="461"/>
      <c r="J8" s="462"/>
      <c r="K8" s="9"/>
      <c r="M8" s="23" t="s">
        <v>63</v>
      </c>
    </row>
    <row r="9" spans="1:13" ht="15.75" customHeight="1" thickBot="1">
      <c r="A9" s="50" t="s">
        <v>66</v>
      </c>
      <c r="B9" s="14"/>
      <c r="C9" s="14"/>
      <c r="D9" s="14"/>
      <c r="E9" s="53"/>
      <c r="F9" s="52" t="s">
        <v>70</v>
      </c>
      <c r="H9" s="53"/>
      <c r="I9" s="465"/>
      <c r="J9" s="466"/>
      <c r="K9" s="9"/>
      <c r="M9" s="79" t="s">
        <v>71</v>
      </c>
    </row>
    <row r="10" spans="1:15" ht="15.75" customHeight="1" thickBot="1">
      <c r="A10" s="7" t="s">
        <v>27</v>
      </c>
      <c r="B10" s="457"/>
      <c r="C10" s="457"/>
      <c r="D10" s="457"/>
      <c r="E10" s="53"/>
      <c r="H10" s="53"/>
      <c r="I10" s="467"/>
      <c r="J10" s="468"/>
      <c r="K10" s="9"/>
      <c r="M10" s="79" t="s">
        <v>73</v>
      </c>
      <c r="O10" s="73" t="s">
        <v>64</v>
      </c>
    </row>
    <row r="11" spans="1:13" ht="15.75" customHeight="1" thickBot="1">
      <c r="A11" s="7" t="s">
        <v>46</v>
      </c>
      <c r="B11" s="458"/>
      <c r="C11" s="459"/>
      <c r="D11" s="459"/>
      <c r="E11" s="53"/>
      <c r="F11" s="7"/>
      <c r="G11" s="53"/>
      <c r="H11" s="53"/>
      <c r="I11" s="469"/>
      <c r="J11" s="470"/>
      <c r="K11" s="9"/>
      <c r="M11" s="79" t="s">
        <v>72</v>
      </c>
    </row>
    <row r="12" spans="1:13" ht="18" customHeight="1">
      <c r="A12" s="7" t="s">
        <v>76</v>
      </c>
      <c r="C12" s="53"/>
      <c r="D12" s="87"/>
      <c r="E12" s="53"/>
      <c r="F12" s="107" t="s">
        <v>84</v>
      </c>
      <c r="G12" s="70"/>
      <c r="H12" s="463"/>
      <c r="I12" s="464"/>
      <c r="J12" s="464"/>
      <c r="K12" s="9"/>
      <c r="M12" s="17" t="s">
        <v>230</v>
      </c>
    </row>
    <row r="13" spans="1:16" ht="15.75" customHeight="1">
      <c r="A13" s="7" t="s">
        <v>77</v>
      </c>
      <c r="B13" s="14"/>
      <c r="C13" s="214"/>
      <c r="D13" s="289"/>
      <c r="E13" s="290" t="str">
        <f>IF(OR(ISBLANK(D13),ISTEXT(D13),D13&lt;0),"?","")</f>
        <v>?</v>
      </c>
      <c r="F13" s="472"/>
      <c r="G13" s="473"/>
      <c r="H13" s="473"/>
      <c r="I13" s="473"/>
      <c r="J13" s="473"/>
      <c r="K13" s="9"/>
      <c r="M13" s="18" t="s">
        <v>239</v>
      </c>
      <c r="O13" s="189" t="str">
        <f>IF(ISNUMBER(P13),P13,IF(OR(ISBLANK(D13),ISTEXT(D13),D13&lt;0),"Ablesbarkeit?",IF(D13&lt;0.01,6,IF(D13&lt;0.1,5,IF(D13&lt;1,4,IF(D13&lt;10,3,IF(D13&lt;100,2,IF(D13&lt;1000,1,0))))))))</f>
        <v>Ablesbarkeit?</v>
      </c>
      <c r="P13" s="213"/>
    </row>
    <row r="14" spans="1:18" ht="11.25" customHeight="1">
      <c r="A14" s="215">
        <f>IF(ISNUMBER(P13),"",IF(OR(ISBLANK(D13),ISTEXT(D13)),"",IF(D13&lt;0.01,"Achtung: Die angegebene Ablesbarkeit unterschreitet den Bereich für die automatische Zuweisung des Toleranzbereiches entspr. Fehlergrenzklasse!",IF(D13&gt;1000,"Achtung: Die angegebene Ablesbarkeit überschreitet den Bereich für die automatische Zuweisung des Toleranzbereiches gemäß Fehlergrenzklasse!",""))))</f>
      </c>
      <c r="B14" s="15"/>
      <c r="C14" s="15"/>
      <c r="D14" s="216"/>
      <c r="E14" s="15"/>
      <c r="F14" s="71"/>
      <c r="G14" s="71"/>
      <c r="H14" s="71"/>
      <c r="I14" s="71"/>
      <c r="J14" s="71"/>
      <c r="K14" s="9"/>
      <c r="M14" s="18" t="s">
        <v>240</v>
      </c>
      <c r="O14" s="288" t="str">
        <f>IF(ISNUMBER(P13),"",IF(ISBLANK(D13),"Bitte die Ablesbarkeit der Waage in Zelle D13 eingeben!",IF(ISTEXT(D13),"Bitte die Ablesbarkeit der Waage in Zelle D13 korrigieren!",IF(D13&lt;0.01,"Achtung: Die angegebene Ablesbarkeit unterschreitet den Bereich für die automatische Zuweisung des Toleranzbereiches entspr. Fehlergrenzklasse!",IF(D13&gt;1000,"Achtung: Die angegebene Ablesbarkeit überschreitet den Bereich für die automatische Zuweisung des Toleranzbereiches entspr. Fehlergrenzklasse!",IF(ISERROR(O13),"?"," "))))))</f>
        <v>Bitte die Ablesbarkeit der Waage in Zelle D13 eingeben!</v>
      </c>
      <c r="Q14" s="8"/>
      <c r="R14" s="8"/>
    </row>
    <row r="15" spans="1:13" ht="4.5" customHeight="1">
      <c r="A15" s="52"/>
      <c r="B15" s="85"/>
      <c r="C15" s="85"/>
      <c r="D15" s="85"/>
      <c r="E15" s="85"/>
      <c r="F15" s="85"/>
      <c r="G15" s="85"/>
      <c r="H15" s="85"/>
      <c r="I15" s="85"/>
      <c r="J15" s="85"/>
      <c r="K15" s="9"/>
      <c r="M15" s="18"/>
    </row>
    <row r="16" spans="1:18" ht="15" customHeight="1">
      <c r="A16" s="169" t="s">
        <v>55</v>
      </c>
      <c r="B16" s="92"/>
      <c r="C16" s="5"/>
      <c r="D16" s="5"/>
      <c r="E16" s="5"/>
      <c r="F16" s="5"/>
      <c r="G16" s="5"/>
      <c r="H16" s="5"/>
      <c r="I16" s="5"/>
      <c r="J16" s="5"/>
      <c r="K16" s="9"/>
      <c r="N16" s="26" t="s">
        <v>83</v>
      </c>
      <c r="Q16" s="8"/>
      <c r="R16" s="8"/>
    </row>
    <row r="17" spans="1:19" ht="25.5" customHeight="1">
      <c r="A17" s="19" t="s">
        <v>3</v>
      </c>
      <c r="B17" s="20" t="s">
        <v>4</v>
      </c>
      <c r="C17" s="21" t="s">
        <v>5</v>
      </c>
      <c r="D17" s="182" t="s">
        <v>6</v>
      </c>
      <c r="E17" s="21" t="s">
        <v>7</v>
      </c>
      <c r="F17" s="21" t="s">
        <v>8</v>
      </c>
      <c r="G17" s="21" t="s">
        <v>9</v>
      </c>
      <c r="H17" s="21" t="s">
        <v>10</v>
      </c>
      <c r="I17" s="21" t="s">
        <v>11</v>
      </c>
      <c r="J17" s="281" t="s">
        <v>241</v>
      </c>
      <c r="K17" s="9"/>
      <c r="N17" s="272" t="s">
        <v>80</v>
      </c>
      <c r="Q17" s="8"/>
      <c r="S17" s="11"/>
    </row>
    <row r="18" spans="1:19" ht="25.5" customHeight="1">
      <c r="A18" s="181" t="s">
        <v>383</v>
      </c>
      <c r="B18" s="22" t="s">
        <v>37</v>
      </c>
      <c r="C18" s="179" t="str">
        <f aca="true" t="shared" si="0" ref="C18:J18">IF(ISBLANK(C19),"Prüflast ?",IF(ISTEXT(C76),"",VLOOKUP(C116,$C89:$J114,$C88)))</f>
        <v>Prüflast ?</v>
      </c>
      <c r="D18" s="179" t="str">
        <f t="shared" si="0"/>
        <v>Prüflast ?</v>
      </c>
      <c r="E18" s="179" t="str">
        <f t="shared" si="0"/>
        <v>Prüflast ?</v>
      </c>
      <c r="F18" s="179" t="str">
        <f t="shared" si="0"/>
        <v>Prüflast ?</v>
      </c>
      <c r="G18" s="179" t="str">
        <f t="shared" si="0"/>
        <v>Prüflast ?</v>
      </c>
      <c r="H18" s="179" t="str">
        <f t="shared" si="0"/>
        <v>Prüflast ?</v>
      </c>
      <c r="I18" s="179" t="str">
        <f t="shared" si="0"/>
        <v>Prüflast ?</v>
      </c>
      <c r="J18" s="179" t="str">
        <f t="shared" si="0"/>
        <v>Prüflast ?</v>
      </c>
      <c r="K18" s="9"/>
      <c r="N18" s="196" t="s">
        <v>324</v>
      </c>
      <c r="P18" s="24"/>
      <c r="Q18" s="25"/>
      <c r="S18" s="11"/>
    </row>
    <row r="19" spans="1:19" ht="15.75" customHeight="1">
      <c r="A19" s="22" t="s">
        <v>12</v>
      </c>
      <c r="B19" s="20" t="s">
        <v>4</v>
      </c>
      <c r="C19" s="304"/>
      <c r="D19" s="304"/>
      <c r="E19" s="304"/>
      <c r="F19" s="304"/>
      <c r="G19" s="304"/>
      <c r="H19" s="304"/>
      <c r="I19" s="304"/>
      <c r="J19" s="304"/>
      <c r="K19" s="9"/>
      <c r="N19" s="26" t="s">
        <v>82</v>
      </c>
      <c r="Q19" s="8"/>
      <c r="S19" s="11"/>
    </row>
    <row r="20" spans="1:19" ht="15.75" customHeight="1">
      <c r="A20" s="22" t="s">
        <v>59</v>
      </c>
      <c r="B20" s="22" t="s">
        <v>37</v>
      </c>
      <c r="C20" s="304"/>
      <c r="D20" s="304"/>
      <c r="E20" s="304"/>
      <c r="F20" s="304"/>
      <c r="G20" s="304"/>
      <c r="H20" s="304"/>
      <c r="I20" s="304"/>
      <c r="J20" s="304"/>
      <c r="K20" s="9"/>
      <c r="N20" s="26" t="s">
        <v>81</v>
      </c>
      <c r="Q20" s="8"/>
      <c r="R20" s="8"/>
      <c r="S20" s="11"/>
    </row>
    <row r="21" spans="1:19" ht="12.75">
      <c r="A21" s="282" t="s">
        <v>47</v>
      </c>
      <c r="B21" s="28" t="s">
        <v>4</v>
      </c>
      <c r="C21" s="294"/>
      <c r="D21" s="305"/>
      <c r="E21" s="294"/>
      <c r="F21" s="294"/>
      <c r="G21" s="294"/>
      <c r="H21" s="294"/>
      <c r="I21" s="305"/>
      <c r="J21" s="294"/>
      <c r="K21" s="9"/>
      <c r="N21" s="26"/>
      <c r="Q21" s="8"/>
      <c r="S21" s="11"/>
    </row>
    <row r="22" spans="1:19" ht="12.75">
      <c r="A22" s="27" t="s">
        <v>48</v>
      </c>
      <c r="B22" s="29" t="s">
        <v>4</v>
      </c>
      <c r="C22" s="295"/>
      <c r="D22" s="295"/>
      <c r="E22" s="295"/>
      <c r="F22" s="295"/>
      <c r="G22" s="295"/>
      <c r="H22" s="295"/>
      <c r="I22" s="298"/>
      <c r="J22" s="295"/>
      <c r="K22" s="9"/>
      <c r="N22" s="474" t="str">
        <f>IF(OR(ISBLANK(B6),ISBLANK(D7),ISBLANK(B10),ISBLANK(B11),ISBLANK(D12),ISBLANK(D13),ISBLANK(I7),ISBLANK(I8),ISBLANK(I9),ISBLANK(I10),ISBLANK(I11)),"Die Angaben in den Kopfdaten sind unvollständig!"," ")</f>
        <v>Die Angaben in den Kopfdaten sind unvollständig!</v>
      </c>
      <c r="O22" s="475"/>
      <c r="P22" s="475"/>
      <c r="Q22" s="475"/>
      <c r="R22" s="475"/>
      <c r="S22" s="476"/>
    </row>
    <row r="23" spans="1:19" ht="12.75">
      <c r="A23" s="27" t="s">
        <v>49</v>
      </c>
      <c r="B23" s="29" t="s">
        <v>4</v>
      </c>
      <c r="C23" s="298"/>
      <c r="D23" s="295"/>
      <c r="E23" s="295"/>
      <c r="F23" s="295"/>
      <c r="G23" s="295"/>
      <c r="H23" s="298"/>
      <c r="I23" s="298"/>
      <c r="J23" s="295"/>
      <c r="K23" s="9"/>
      <c r="N23" s="478" t="str">
        <f>IF(OR(COUNT(C76:J76)&lt;1,SUM(C27:J27)&gt;=100),"Angaben unvollständig, unter: Prüflast!",IF(SUM(C26:J26)&gt;=100,"Angaben unvollständig, unter: ID-Code Prüfmassestück",IF(SUM(C28:J28)&gt;=100,"Angaben unvollständig, unter: U, Prüflast!",IF(SUM(C29:J29)&gt;=1000,"Bitte zu jeder Prüflast 5 Wägewerte eintragen unter: Waagenanzeige R!",IF(SUM(C29:J29)&gt;=100,"Bitte zu Wägewerten gehörige Prüflast(en) eintragen unter: Prüflast L!"," ")))))</f>
        <v>Angaben unvollständig, unter: Prüflast!</v>
      </c>
      <c r="O23" s="479"/>
      <c r="P23" s="479"/>
      <c r="Q23" s="479"/>
      <c r="R23" s="479"/>
      <c r="S23" s="480"/>
    </row>
    <row r="24" spans="1:19" ht="12.75">
      <c r="A24" s="27" t="s">
        <v>50</v>
      </c>
      <c r="B24" s="29" t="s">
        <v>4</v>
      </c>
      <c r="C24" s="295"/>
      <c r="D24" s="295"/>
      <c r="E24" s="295"/>
      <c r="F24" s="295"/>
      <c r="G24" s="295"/>
      <c r="H24" s="295"/>
      <c r="I24" s="298"/>
      <c r="J24" s="295"/>
      <c r="K24" s="9"/>
      <c r="N24" s="481" t="str">
        <f>IF(OR(ISBLANK(C37),ISBLANK(E37),COUNT(M80:M84)&lt;5),"Angaben unvollständig, unter: Außermittige Belastung!",IF(ISBLANK(A71),"Es fehlt in der Fußzeile die Angabe von Datum bzw. Name des Bearbeiters!"," "))</f>
        <v>Angaben unvollständig, unter: Außermittige Belastung!</v>
      </c>
      <c r="O24" s="482"/>
      <c r="P24" s="482"/>
      <c r="Q24" s="482"/>
      <c r="R24" s="482"/>
      <c r="S24" s="483"/>
    </row>
    <row r="25" spans="1:19" ht="12.75" customHeight="1">
      <c r="A25" s="41" t="s">
        <v>51</v>
      </c>
      <c r="B25" s="42" t="s">
        <v>4</v>
      </c>
      <c r="C25" s="297"/>
      <c r="D25" s="296"/>
      <c r="E25" s="296"/>
      <c r="F25" s="296"/>
      <c r="G25" s="296"/>
      <c r="H25" s="296"/>
      <c r="I25" s="297"/>
      <c r="J25" s="296"/>
      <c r="K25" s="9"/>
      <c r="N25" s="285"/>
      <c r="O25" s="286"/>
      <c r="P25" s="286"/>
      <c r="Q25" s="286"/>
      <c r="R25" s="287"/>
      <c r="S25" s="287"/>
    </row>
    <row r="26" spans="1:18" ht="0" customHeight="1" hidden="1">
      <c r="A26" s="291" t="s">
        <v>326</v>
      </c>
      <c r="B26" s="283"/>
      <c r="C26" s="283">
        <f aca="true" t="shared" si="1" ref="C26:J26">IF(AND(ISNUMBER(C76),ISBLANK(C16)),100,0)</f>
        <v>0</v>
      </c>
      <c r="D26" s="283">
        <f t="shared" si="1"/>
        <v>0</v>
      </c>
      <c r="E26" s="283">
        <f t="shared" si="1"/>
        <v>0</v>
      </c>
      <c r="F26" s="283">
        <f t="shared" si="1"/>
        <v>0</v>
      </c>
      <c r="G26" s="283">
        <f t="shared" si="1"/>
        <v>0</v>
      </c>
      <c r="H26" s="283">
        <f t="shared" si="1"/>
        <v>0</v>
      </c>
      <c r="I26" s="283">
        <f t="shared" si="1"/>
        <v>0</v>
      </c>
      <c r="J26" s="283">
        <f t="shared" si="1"/>
        <v>0</v>
      </c>
      <c r="K26" s="9"/>
      <c r="N26" s="26"/>
      <c r="Q26" s="8"/>
      <c r="R26" s="8"/>
    </row>
    <row r="27" spans="1:19" ht="0" customHeight="1" hidden="1">
      <c r="A27" s="284" t="s">
        <v>329</v>
      </c>
      <c r="B27" s="283"/>
      <c r="C27" s="283">
        <f aca="true" t="shared" si="2" ref="C27:J27">IF(AND(ISBLANK(C76),SUM(C77,C80:C84)&gt;0),100,0)</f>
        <v>0</v>
      </c>
      <c r="D27" s="283">
        <f t="shared" si="2"/>
        <v>0</v>
      </c>
      <c r="E27" s="283">
        <f t="shared" si="2"/>
        <v>0</v>
      </c>
      <c r="F27" s="283">
        <f t="shared" si="2"/>
        <v>0</v>
      </c>
      <c r="G27" s="283">
        <f t="shared" si="2"/>
        <v>0</v>
      </c>
      <c r="H27" s="283">
        <f t="shared" si="2"/>
        <v>0</v>
      </c>
      <c r="I27" s="283">
        <f t="shared" si="2"/>
        <v>0</v>
      </c>
      <c r="J27" s="283">
        <f t="shared" si="2"/>
        <v>0</v>
      </c>
      <c r="K27" s="9"/>
      <c r="N27" s="26"/>
      <c r="Q27" s="8"/>
      <c r="S27" s="11"/>
    </row>
    <row r="28" spans="1:19" ht="0" customHeight="1" hidden="1">
      <c r="A28" s="284" t="s">
        <v>327</v>
      </c>
      <c r="B28" s="283"/>
      <c r="C28" s="283">
        <f aca="true" t="shared" si="3" ref="C28:J28">IF(AND(ISNUMBER(C76),ISBLANK(C77)),100,0)</f>
        <v>0</v>
      </c>
      <c r="D28" s="283">
        <f t="shared" si="3"/>
        <v>0</v>
      </c>
      <c r="E28" s="283">
        <f t="shared" si="3"/>
        <v>0</v>
      </c>
      <c r="F28" s="283">
        <f t="shared" si="3"/>
        <v>0</v>
      </c>
      <c r="G28" s="283">
        <f t="shared" si="3"/>
        <v>0</v>
      </c>
      <c r="H28" s="283">
        <f t="shared" si="3"/>
        <v>0</v>
      </c>
      <c r="I28" s="283">
        <f t="shared" si="3"/>
        <v>0</v>
      </c>
      <c r="J28" s="283">
        <f t="shared" si="3"/>
        <v>0</v>
      </c>
      <c r="K28" s="9"/>
      <c r="N28" s="26"/>
      <c r="Q28" s="8"/>
      <c r="R28" s="8"/>
      <c r="S28" s="11"/>
    </row>
    <row r="29" spans="1:19" ht="0" customHeight="1" hidden="1">
      <c r="A29" s="284" t="s">
        <v>328</v>
      </c>
      <c r="B29" s="283"/>
      <c r="C29" s="283">
        <f aca="true" t="shared" si="4" ref="C29:J29">IF(AND(ISNUMBER(C76),COUNT(C80:C84)&lt;5),1000,IF(AND(ISBLANK(C76),COUNT(C80:C84)&gt;0),100,0))</f>
        <v>0</v>
      </c>
      <c r="D29" s="283">
        <f t="shared" si="4"/>
        <v>0</v>
      </c>
      <c r="E29" s="283">
        <f t="shared" si="4"/>
        <v>0</v>
      </c>
      <c r="F29" s="283">
        <f t="shared" si="4"/>
        <v>0</v>
      </c>
      <c r="G29" s="283">
        <f t="shared" si="4"/>
        <v>0</v>
      </c>
      <c r="H29" s="283">
        <f t="shared" si="4"/>
        <v>0</v>
      </c>
      <c r="I29" s="283">
        <f t="shared" si="4"/>
        <v>0</v>
      </c>
      <c r="J29" s="283">
        <f t="shared" si="4"/>
        <v>0</v>
      </c>
      <c r="K29" s="9"/>
      <c r="N29" s="26"/>
      <c r="Q29" s="8"/>
      <c r="S29" s="11"/>
    </row>
    <row r="30" spans="1:19" ht="15.75" customHeight="1">
      <c r="A30" s="22" t="s">
        <v>13</v>
      </c>
      <c r="B30" s="20" t="s">
        <v>4</v>
      </c>
      <c r="C30" s="30">
        <f aca="true" t="shared" si="5" ref="C30:J30">IF(ISERROR(STDEV(C80:C84)),"",IF(OR(ISBLANK($D13),ISTEXT($O13)),"Zelle D13 ?",FIXED(AVERAGE(C80:C84),$O13)))</f>
      </c>
      <c r="D30" s="30">
        <f t="shared" si="5"/>
      </c>
      <c r="E30" s="30">
        <f t="shared" si="5"/>
      </c>
      <c r="F30" s="30">
        <f t="shared" si="5"/>
      </c>
      <c r="G30" s="30">
        <f t="shared" si="5"/>
      </c>
      <c r="H30" s="30">
        <f t="shared" si="5"/>
      </c>
      <c r="I30" s="30">
        <f t="shared" si="5"/>
      </c>
      <c r="J30" s="30">
        <f t="shared" si="5"/>
      </c>
      <c r="K30" s="9"/>
      <c r="N30" s="26"/>
      <c r="Q30" s="8"/>
      <c r="S30" s="11"/>
    </row>
    <row r="31" spans="1:19" ht="15.75" customHeight="1">
      <c r="A31" s="177" t="s">
        <v>14</v>
      </c>
      <c r="B31" s="20" t="s">
        <v>75</v>
      </c>
      <c r="C31" s="30">
        <f aca="true" t="shared" si="6" ref="C31:J31">IF(ISERROR(STDEV(C80:C84)),"",IF(OR(ISBLANK($D13),ISTEXT($O13)),"Zelle D13 ?",FIXED(1000*ABS(C76-C30),$O13-3)))</f>
      </c>
      <c r="D31" s="30">
        <f t="shared" si="6"/>
      </c>
      <c r="E31" s="30">
        <f t="shared" si="6"/>
      </c>
      <c r="F31" s="30">
        <f t="shared" si="6"/>
      </c>
      <c r="G31" s="30">
        <f t="shared" si="6"/>
      </c>
      <c r="H31" s="30">
        <f t="shared" si="6"/>
      </c>
      <c r="I31" s="30">
        <f t="shared" si="6"/>
      </c>
      <c r="J31" s="30">
        <f t="shared" si="6"/>
      </c>
      <c r="K31" s="9"/>
      <c r="N31" s="26" t="s">
        <v>243</v>
      </c>
      <c r="Q31" s="8"/>
      <c r="S31" s="11"/>
    </row>
    <row r="32" spans="1:19" ht="15.75" customHeight="1">
      <c r="A32" s="177" t="s">
        <v>15</v>
      </c>
      <c r="B32" s="178" t="s">
        <v>37</v>
      </c>
      <c r="C32" s="179">
        <f aca="true" t="shared" si="7" ref="C32:J32">IF(ISERROR(STDEV(C80:C84)),"",IF(OR(ISBLANK($D13),ISTEXT($O13)),"Zelle D13 ?",1000*FIXED(2*SQRT(STDEV(C80:C84)^2+(SQRT((AVERAGE(C80:C84)-C76)^2+(STDEV(C80:C84)/SQRT(COUNT(C80:C84)))^2+(C77/1000/2)^2))^2),$O13+1)))</f>
      </c>
      <c r="D32" s="179">
        <f t="shared" si="7"/>
      </c>
      <c r="E32" s="179">
        <f t="shared" si="7"/>
      </c>
      <c r="F32" s="179">
        <f t="shared" si="7"/>
      </c>
      <c r="G32" s="179">
        <f t="shared" si="7"/>
      </c>
      <c r="H32" s="179">
        <f t="shared" si="7"/>
      </c>
      <c r="I32" s="179">
        <f t="shared" si="7"/>
      </c>
      <c r="J32" s="179">
        <f t="shared" si="7"/>
      </c>
      <c r="K32" s="9"/>
      <c r="M32" s="180"/>
      <c r="N32" s="180" t="s">
        <v>16</v>
      </c>
      <c r="Q32" s="8"/>
      <c r="S32" s="11"/>
    </row>
    <row r="33" spans="1:19" ht="0" customHeight="1" hidden="1">
      <c r="A33" s="170" t="s">
        <v>225</v>
      </c>
      <c r="B33" s="171" t="s">
        <v>37</v>
      </c>
      <c r="C33" s="172">
        <f aca="true" t="shared" si="8" ref="C33:J33">IF(C32="","",2*SQRT(STDEV(C80:C84)^2+(SQRT((AVERAGE(C80:C84)-C76)^2+(STDEV(C80:C84)/SQRT(COUNT(C80:C84)))^2+(C77/1000/2)^2))^2))</f>
      </c>
      <c r="D33" s="172">
        <f t="shared" si="8"/>
      </c>
      <c r="E33" s="172">
        <f t="shared" si="8"/>
      </c>
      <c r="F33" s="172">
        <f t="shared" si="8"/>
      </c>
      <c r="G33" s="172">
        <f t="shared" si="8"/>
      </c>
      <c r="H33" s="172">
        <f t="shared" si="8"/>
      </c>
      <c r="I33" s="172">
        <f t="shared" si="8"/>
      </c>
      <c r="J33" s="172">
        <f t="shared" si="8"/>
      </c>
      <c r="K33" s="9"/>
      <c r="M33" s="173"/>
      <c r="N33" s="173"/>
      <c r="Q33" s="8"/>
      <c r="S33" s="11"/>
    </row>
    <row r="34" spans="1:19" ht="0" customHeight="1" hidden="1">
      <c r="A34" s="174" t="s">
        <v>226</v>
      </c>
      <c r="B34" s="175" t="s">
        <v>17</v>
      </c>
      <c r="C34" s="176" t="e">
        <f aca="true" t="shared" si="9" ref="C34:J34">100*2*SQRT((STDEV(C80:C84)/AVERAGE(C80:C84))^2+(SQRT(((AVERAGE(C80:C84)-C76)/C76)^2+((STDEV(C80:C84)/AVERAGE(C80:C84))/SQRT(COUNT(C80:C84)))^2+((C77/1000/2)/C76)^2))^2)</f>
        <v>#DIV/0!</v>
      </c>
      <c r="D34" s="176" t="e">
        <f t="shared" si="9"/>
        <v>#DIV/0!</v>
      </c>
      <c r="E34" s="176" t="e">
        <f t="shared" si="9"/>
        <v>#DIV/0!</v>
      </c>
      <c r="F34" s="176" t="e">
        <f t="shared" si="9"/>
        <v>#DIV/0!</v>
      </c>
      <c r="G34" s="176" t="e">
        <f t="shared" si="9"/>
        <v>#DIV/0!</v>
      </c>
      <c r="H34" s="176" t="e">
        <f t="shared" si="9"/>
        <v>#DIV/0!</v>
      </c>
      <c r="I34" s="176" t="e">
        <f t="shared" si="9"/>
        <v>#DIV/0!</v>
      </c>
      <c r="J34" s="176" t="e">
        <f t="shared" si="9"/>
        <v>#DIV/0!</v>
      </c>
      <c r="K34" s="9"/>
      <c r="M34" s="173"/>
      <c r="N34" s="173" t="s">
        <v>18</v>
      </c>
      <c r="Q34" s="8"/>
      <c r="S34" s="11"/>
    </row>
    <row r="35" spans="1:19" ht="15.75" customHeight="1">
      <c r="A35" s="31" t="s">
        <v>19</v>
      </c>
      <c r="B35" s="32"/>
      <c r="C35" s="425">
        <f aca="true" t="shared" si="10" ref="C35:J35">IF(ISERROR(STDEV(C80:C84)),"",IF(OR(ISBLANK($D13),ISTEXT($O13)),"",IF(ISBLANK(C76),"Prüflast ?",IF(COUNT(C80:C84)&lt;5,"? (n, R &lt; 5)",IF(1*C31&gt;C18,"nein!","ja")))))</f>
      </c>
      <c r="D35" s="425">
        <f t="shared" si="10"/>
      </c>
      <c r="E35" s="425">
        <f t="shared" si="10"/>
      </c>
      <c r="F35" s="425">
        <f t="shared" si="10"/>
      </c>
      <c r="G35" s="425">
        <f t="shared" si="10"/>
      </c>
      <c r="H35" s="425">
        <f t="shared" si="10"/>
      </c>
      <c r="I35" s="425">
        <f t="shared" si="10"/>
      </c>
      <c r="J35" s="425">
        <f t="shared" si="10"/>
      </c>
      <c r="K35" s="9"/>
      <c r="N35" s="23" t="s">
        <v>57</v>
      </c>
      <c r="Q35" s="8"/>
      <c r="S35" s="11"/>
    </row>
    <row r="36" spans="1:20" ht="25.5" customHeight="1">
      <c r="A36" s="36" t="s">
        <v>220</v>
      </c>
      <c r="B36" s="14"/>
      <c r="C36" s="14"/>
      <c r="D36" s="14"/>
      <c r="E36" s="14"/>
      <c r="F36" s="101"/>
      <c r="G36" s="38"/>
      <c r="H36" s="14"/>
      <c r="I36" s="14"/>
      <c r="J36" s="14"/>
      <c r="K36" s="9"/>
      <c r="M36" s="168"/>
      <c r="N36" s="14"/>
      <c r="S36" s="14"/>
      <c r="T36" s="14"/>
    </row>
    <row r="37" spans="1:17" ht="12.75">
      <c r="A37" s="60" t="s">
        <v>55</v>
      </c>
      <c r="B37" s="169"/>
      <c r="C37" s="5"/>
      <c r="D37" s="24" t="s">
        <v>209</v>
      </c>
      <c r="E37" s="304"/>
      <c r="F37" s="38" t="s">
        <v>4</v>
      </c>
      <c r="G37" s="14"/>
      <c r="H37" s="14"/>
      <c r="I37" s="14"/>
      <c r="J37" s="14"/>
      <c r="K37" s="9"/>
      <c r="M37" s="26"/>
      <c r="Q37" s="217">
        <f>IF(OR(ISBLANK(O49),ISTEXT(C47)),"",(C47*O49+C46)/O49*100)</f>
      </c>
    </row>
    <row r="38" spans="1:15" ht="12.75">
      <c r="A38" s="39" t="s">
        <v>20</v>
      </c>
      <c r="B38" s="28" t="s">
        <v>4</v>
      </c>
      <c r="C38" s="305"/>
      <c r="D38" s="22" t="s">
        <v>219</v>
      </c>
      <c r="K38" s="9"/>
      <c r="O38" s="12"/>
    </row>
    <row r="39" spans="1:11" ht="12.75">
      <c r="A39" s="27" t="s">
        <v>21</v>
      </c>
      <c r="B39" s="29" t="s">
        <v>4</v>
      </c>
      <c r="C39" s="298"/>
      <c r="D39" s="40">
        <f>IF(OR(ISBLANK(C$38),ISBLANK(C39),ISTEXT(O$13)),"",FIXED(ABS(M81-M$80),O$13))</f>
      </c>
      <c r="K39" s="9"/>
    </row>
    <row r="40" spans="1:13" ht="12.75">
      <c r="A40" s="27" t="s">
        <v>22</v>
      </c>
      <c r="B40" s="29" t="s">
        <v>4</v>
      </c>
      <c r="C40" s="298"/>
      <c r="D40" s="40">
        <f>IF(OR(ISBLANK(C$38),ISBLANK(C40),ISTEXT(O$13)),"",FIXED(ABS(M82-M$80),O$13))</f>
      </c>
      <c r="K40" s="9"/>
      <c r="M40" s="26" t="s">
        <v>222</v>
      </c>
    </row>
    <row r="41" spans="1:11" ht="12.75">
      <c r="A41" s="27" t="s">
        <v>24</v>
      </c>
      <c r="B41" s="29" t="s">
        <v>4</v>
      </c>
      <c r="C41" s="298"/>
      <c r="D41" s="40">
        <f>IF(OR(ISBLANK(C$38),ISBLANK(C41),ISTEXT(O$13)),"",FIXED(ABS(M83-M$80),O$13))</f>
      </c>
      <c r="K41" s="9"/>
    </row>
    <row r="42" spans="1:11" ht="12.75">
      <c r="A42" s="41" t="s">
        <v>23</v>
      </c>
      <c r="B42" s="42" t="s">
        <v>4</v>
      </c>
      <c r="C42" s="297"/>
      <c r="D42" s="40">
        <f>IF(OR(ISBLANK(C$38),ISBLANK(C42),ISTEXT(O$13)),"",FIXED(ABS(M84-M$80),O$13))</f>
      </c>
      <c r="K42" s="9"/>
    </row>
    <row r="43" spans="3:11" ht="12.75">
      <c r="C43" s="43" t="s">
        <v>25</v>
      </c>
      <c r="D43" s="44">
        <f>IF(ISERROR(MAX(1*D39,1*D40,1*D41,1*D42)),"",FIXED(MAX(1*D39,1*D40,1*D41,1*D42),O13)&amp;" g")</f>
      </c>
      <c r="E43" s="45" t="s">
        <v>221</v>
      </c>
      <c r="K43" s="9"/>
    </row>
    <row r="44" spans="1:19" ht="13.5" thickBot="1">
      <c r="A44" s="263"/>
      <c r="B44" s="263"/>
      <c r="C44" s="263"/>
      <c r="D44" s="263"/>
      <c r="E44" s="263"/>
      <c r="F44" s="263"/>
      <c r="G44" s="263"/>
      <c r="H44" s="263"/>
      <c r="I44" s="263"/>
      <c r="J44" s="263"/>
      <c r="K44" s="9"/>
      <c r="M44" s="263"/>
      <c r="N44" s="263"/>
      <c r="O44" s="263"/>
      <c r="P44" s="263"/>
      <c r="Q44" s="262"/>
      <c r="R44" s="262"/>
      <c r="S44" s="263"/>
    </row>
    <row r="45" spans="1:13" ht="4.5" customHeight="1">
      <c r="A45" s="33"/>
      <c r="B45" s="34"/>
      <c r="C45" s="35"/>
      <c r="D45" s="35"/>
      <c r="E45" s="35"/>
      <c r="F45" s="35"/>
      <c r="G45" s="35"/>
      <c r="H45" s="35"/>
      <c r="I45" s="35"/>
      <c r="J45" s="35"/>
      <c r="K45" s="9"/>
      <c r="M45" s="26"/>
    </row>
    <row r="46" spans="1:13" ht="12.75" customHeight="1">
      <c r="A46" s="36" t="s">
        <v>45</v>
      </c>
      <c r="B46" s="37" t="s">
        <v>53</v>
      </c>
      <c r="C46" s="432" t="str">
        <f>IF(ISNUMBER(E46),E46,IF(OR(ISERROR(INTERCEPT(C33:J33,C76:J76)),COUNT(C76:J76)&lt;&gt;COUNT(C33:J33)),"?",INTERCEPT(C33:J33,C76:J76)))</f>
        <v>?</v>
      </c>
      <c r="D46" s="454">
        <f>IF(ISERROR(SUM(R76:R190)),"",IF(SUM(R76:R190)&gt;0,"Ergebnis zweigelhaft *",""))</f>
      </c>
      <c r="E46" s="218"/>
      <c r="F46" s="188" t="s">
        <v>331</v>
      </c>
      <c r="G46" s="35"/>
      <c r="I46" s="35"/>
      <c r="J46" s="35"/>
      <c r="K46" s="9"/>
      <c r="M46" s="55" t="s">
        <v>223</v>
      </c>
    </row>
    <row r="47" spans="1:17" ht="12.75" customHeight="1">
      <c r="A47" s="102" t="s">
        <v>52</v>
      </c>
      <c r="B47" s="37" t="s">
        <v>54</v>
      </c>
      <c r="C47" s="433" t="str">
        <f>IF(ISNUMBER(E47),E47,IF(OR(ISERROR(SLOPE(C33:J33,C76:J76)),COUNT(C76:J76)&lt;&gt;COUNT(C33:J33)),"?",SLOPE(C33:J33,C76:J76)))</f>
        <v>?</v>
      </c>
      <c r="D47" s="454"/>
      <c r="E47" s="218"/>
      <c r="F47" s="101" t="str">
        <f>IF(ISTEXT(M47),"10% : ","")</f>
        <v>10% : </v>
      </c>
      <c r="G47" s="38" t="str">
        <f>IF(ISBLANK(M47),"",IF(OR(ISTEXT(C46),ISTEXT(C47),ISTEXT(O13)),"?",IF(O13&lt;3,"Eine Mindestlast von "&amp;FIXED(100*C46/(10-100*C47),O13)&amp;" g","Eine Mindestlast von "&amp;FIXED(1000*100*C46/(10-100*C47),O13-3)&amp;" mg")))</f>
        <v>?</v>
      </c>
      <c r="I47" s="35"/>
      <c r="J47" s="477">
        <f>IF(ISERROR(SUM(R76:R190)),"",IF(SUM(R76:R190)&gt;0,"Ergebnis zweigelhaft *",""))</f>
      </c>
      <c r="K47" s="9"/>
      <c r="M47" s="141" t="s">
        <v>204</v>
      </c>
      <c r="O47" s="17" t="s">
        <v>42</v>
      </c>
      <c r="Q47" s="8"/>
    </row>
    <row r="48" spans="1:18" ht="12.75" customHeight="1">
      <c r="A48" s="317">
        <f>IF(ISERROR(SUM(R76:R190)),"",IF(SUM(R76:R190)&gt;0,"Es wird eine unzureichende Justierung der Waage vermutet.",""))</f>
      </c>
      <c r="E48" s="140"/>
      <c r="F48" s="101" t="str">
        <f>IF(ISTEXT(M48),"1% : ","")</f>
        <v>1% : </v>
      </c>
      <c r="G48" s="38" t="str">
        <f>IF(ISBLANK(M48),"",IF(OR(ISTEXT(C46),ISTEXT(C47),ISTEXT(O13)),"?",IF(O13&lt;3,"Eine Mindestlast von "&amp;FIXED(100*C46/(1-100*C47),O13)&amp;" g","Eine Mindestlast von "&amp;FIXED(1000*100*C46/(1-100*C47),O13-3)&amp;" mg")))</f>
        <v>?</v>
      </c>
      <c r="J48" s="477"/>
      <c r="K48" s="9"/>
      <c r="M48" s="141" t="s">
        <v>204</v>
      </c>
      <c r="O48" s="46" t="s">
        <v>41</v>
      </c>
      <c r="P48" s="189" t="s">
        <v>476</v>
      </c>
      <c r="Q48" s="189" t="s">
        <v>477</v>
      </c>
      <c r="R48" s="8"/>
    </row>
    <row r="49" spans="1:18" ht="12.75" customHeight="1">
      <c r="A49" s="290">
        <f>IF(ISERROR(SUM(R76:R190)),"",IF(SUM(R76:R190)&gt;0,"* Die Prüfergebnisse sind für eine Kalibrierung ungeeignet.",""))</f>
      </c>
      <c r="B49" s="14"/>
      <c r="C49" s="14"/>
      <c r="D49" s="14"/>
      <c r="F49" s="101" t="str">
        <f>IF(ISTEXT(M49),"0,1% : ","")</f>
        <v>0,1% : </v>
      </c>
      <c r="G49" s="38" t="str">
        <f>IF(ISBLANK(M49),"",IF(OR(ISTEXT(C46),ISTEXT(C47),ISTEXT(O13)),"?",IF(O13&lt;3,"Eine Mindestlast von "&amp;FIXED(100*C46/(0.1-100*C47),O13)&amp;" g","Eine Mindestlast von "&amp;FIXED(1000*100*C46/(0.1-100*C47),O13-3)&amp;" mg")))</f>
        <v>?</v>
      </c>
      <c r="H49" s="14"/>
      <c r="I49" s="14"/>
      <c r="J49" s="477"/>
      <c r="K49" s="9"/>
      <c r="M49" s="142" t="s">
        <v>204</v>
      </c>
      <c r="O49" s="6"/>
      <c r="P49" s="139">
        <f>IF(OR(ISBLANK(O49),ISTEXT(C47)),"",ROUND((C47*O49+C46)*1000,O13))</f>
      </c>
      <c r="Q49" s="47">
        <f>IF(OR(ISBLANK(O49),ISTEXT(C47)),"",IF((C47*O49+C46)/O49*100&lt;0.1,"&lt;  ± 0,1 %",(C47*O49+C46)/O49*100))</f>
      </c>
      <c r="R49" s="98"/>
    </row>
    <row r="50" spans="1:18" ht="18" customHeight="1">
      <c r="A50" s="10" t="s">
        <v>60</v>
      </c>
      <c r="E50" s="460" t="str">
        <f>IF(OR(ISBLANK(D12),ISTEXT(D12)),"Bitte die angegebene Höchstlast eingeben (siehe Kopfdaten). Anderenfalls erfolgt keine Diagrammanzeige",IF(OR(ISTEXT(C46),ISTEXT(C47)),"Bei unvollständiger Kalibriergleichung ist die Diagrammanzeige nicht möglich",""))</f>
        <v>Bitte die angegebene Höchstlast eingeben (siehe Kopfdaten). Anderenfalls erfolgt keine Diagrammanzeige</v>
      </c>
      <c r="F50" s="460"/>
      <c r="G50" s="460"/>
      <c r="H50" s="460"/>
      <c r="I50" s="460"/>
      <c r="K50" s="9"/>
      <c r="Q50" s="8"/>
      <c r="R50" s="8"/>
    </row>
    <row r="51" spans="1:33" ht="15" customHeight="1">
      <c r="A51" s="66" t="s">
        <v>61</v>
      </c>
      <c r="C51" s="55"/>
      <c r="E51" s="460"/>
      <c r="F51" s="460"/>
      <c r="G51" s="460"/>
      <c r="H51" s="460"/>
      <c r="I51" s="460"/>
      <c r="K51" s="9"/>
      <c r="P51" s="76"/>
      <c r="Q51" s="77"/>
      <c r="R51" s="77"/>
      <c r="S51" s="76"/>
      <c r="T51" s="78"/>
      <c r="U51" s="78"/>
      <c r="V51" s="14"/>
      <c r="W51" s="14"/>
      <c r="X51" s="14"/>
      <c r="Y51" s="14"/>
      <c r="Z51" s="14"/>
      <c r="AA51" s="14"/>
      <c r="AB51" s="14"/>
      <c r="AC51" s="14"/>
      <c r="AD51" s="14"/>
      <c r="AE51" s="14"/>
      <c r="AF51" s="14"/>
      <c r="AG51" s="14"/>
    </row>
    <row r="52" spans="11:18" ht="12.75">
      <c r="K52" s="9"/>
      <c r="Q52" s="8"/>
      <c r="R52" s="8"/>
    </row>
    <row r="53" spans="11:18" ht="12.75" customHeight="1">
      <c r="K53" s="9"/>
      <c r="Q53" s="8"/>
      <c r="R53" s="8"/>
    </row>
    <row r="54" spans="11:18" ht="12.75">
      <c r="K54" s="9"/>
      <c r="Q54" s="8"/>
      <c r="R54" s="8"/>
    </row>
    <row r="55" spans="11:18" ht="12.75">
      <c r="K55" s="9"/>
      <c r="Q55" s="8"/>
      <c r="R55" s="8"/>
    </row>
    <row r="56" spans="11:18" ht="12.75">
      <c r="K56" s="9"/>
      <c r="Q56" s="8"/>
      <c r="R56" s="8"/>
    </row>
    <row r="57" spans="11:18" ht="12.75">
      <c r="K57" s="9"/>
      <c r="Q57" s="8"/>
      <c r="R57" s="8"/>
    </row>
    <row r="58" spans="11:18" ht="12.75">
      <c r="K58" s="9"/>
      <c r="Q58" s="8"/>
      <c r="R58" s="8"/>
    </row>
    <row r="59" spans="11:18" ht="12.75">
      <c r="K59" s="9"/>
      <c r="Q59" s="8"/>
      <c r="R59" s="8"/>
    </row>
    <row r="60" spans="11:18" ht="12.75">
      <c r="K60" s="9"/>
      <c r="Q60" s="8"/>
      <c r="R60" s="8"/>
    </row>
    <row r="61" spans="11:18" ht="12.75">
      <c r="K61" s="9"/>
      <c r="Q61" s="8"/>
      <c r="R61" s="8"/>
    </row>
    <row r="62" spans="11:18" ht="12.75">
      <c r="K62" s="9"/>
      <c r="Q62" s="8"/>
      <c r="R62" s="8"/>
    </row>
    <row r="63" spans="11:18" ht="12.75">
      <c r="K63" s="9"/>
      <c r="Q63" s="8"/>
      <c r="R63" s="8"/>
    </row>
    <row r="64" spans="11:18" ht="12.75">
      <c r="K64" s="9"/>
      <c r="Q64" s="8"/>
      <c r="R64" s="8"/>
    </row>
    <row r="65" spans="11:18" ht="12.75">
      <c r="K65" s="9"/>
      <c r="Q65" s="8"/>
      <c r="R65" s="8"/>
    </row>
    <row r="66" spans="11:18" ht="12.75">
      <c r="K66" s="9"/>
      <c r="Q66" s="8"/>
      <c r="R66" s="8"/>
    </row>
    <row r="67" spans="1:18" ht="12.75">
      <c r="A67" s="10" t="s">
        <v>38</v>
      </c>
      <c r="K67" s="9"/>
      <c r="Q67" s="8"/>
      <c r="R67" s="8"/>
    </row>
    <row r="68" spans="1:15" ht="15" customHeight="1">
      <c r="A68" s="103"/>
      <c r="B68" s="58"/>
      <c r="C68" s="58"/>
      <c r="D68" s="58"/>
      <c r="E68" s="58"/>
      <c r="F68" s="58"/>
      <c r="G68" s="58"/>
      <c r="H68" s="58"/>
      <c r="I68" s="58"/>
      <c r="J68" s="58"/>
      <c r="K68" s="9"/>
      <c r="N68" s="72"/>
      <c r="O68" s="12"/>
    </row>
    <row r="69" spans="1:14" ht="15" customHeight="1">
      <c r="A69" s="280"/>
      <c r="B69" s="56"/>
      <c r="C69" s="56"/>
      <c r="D69" s="56"/>
      <c r="E69" s="56"/>
      <c r="F69" s="56"/>
      <c r="G69" s="56"/>
      <c r="H69" s="56"/>
      <c r="I69" s="56"/>
      <c r="J69" s="56"/>
      <c r="K69" s="9"/>
      <c r="N69" s="72"/>
    </row>
    <row r="70" ht="3.75" customHeight="1">
      <c r="K70" s="9"/>
    </row>
    <row r="71" spans="1:11" ht="18" customHeight="1">
      <c r="A71" s="59"/>
      <c r="B71" s="57"/>
      <c r="C71" s="57"/>
      <c r="D71" s="57"/>
      <c r="F71" s="15"/>
      <c r="G71" s="15"/>
      <c r="H71" s="15"/>
      <c r="K71" s="9"/>
    </row>
    <row r="72" spans="1:11" ht="12.75">
      <c r="A72" s="86" t="s">
        <v>74</v>
      </c>
      <c r="B72" s="14"/>
      <c r="C72" s="49"/>
      <c r="D72" s="49"/>
      <c r="E72" s="14"/>
      <c r="F72" s="14" t="s">
        <v>391</v>
      </c>
      <c r="G72" s="14"/>
      <c r="H72" s="14"/>
      <c r="I72" s="14"/>
      <c r="J72" s="14"/>
      <c r="K72" s="9"/>
    </row>
    <row r="73" spans="1:11" ht="3.75" customHeight="1">
      <c r="A73" s="9"/>
      <c r="B73" s="9"/>
      <c r="C73" s="9"/>
      <c r="D73" s="9"/>
      <c r="E73" s="9"/>
      <c r="F73" s="9"/>
      <c r="G73" s="9"/>
      <c r="H73" s="9"/>
      <c r="I73" s="9"/>
      <c r="J73" s="9"/>
      <c r="K73" s="9"/>
    </row>
    <row r="74" ht="12.75"/>
    <row r="75" spans="3:18" ht="12.75">
      <c r="C75" s="299" t="s">
        <v>334</v>
      </c>
      <c r="O75" s="74" t="s">
        <v>67</v>
      </c>
      <c r="P75" s="76"/>
      <c r="Q75" s="76"/>
      <c r="R75" s="312" t="s">
        <v>380</v>
      </c>
    </row>
    <row r="76" spans="3:18" ht="12.75">
      <c r="C76" s="306">
        <f aca="true" t="shared" si="11" ref="C76:J77">IF(OR(ISBLANK(C19),ISERROR(1*C19)),"",1*C19)</f>
      </c>
      <c r="D76" s="306">
        <f t="shared" si="11"/>
      </c>
      <c r="E76" s="306">
        <f t="shared" si="11"/>
      </c>
      <c r="F76" s="306">
        <f t="shared" si="11"/>
      </c>
      <c r="G76" s="306">
        <f t="shared" si="11"/>
      </c>
      <c r="H76" s="306">
        <f t="shared" si="11"/>
      </c>
      <c r="I76" s="306">
        <f t="shared" si="11"/>
      </c>
      <c r="J76" s="306">
        <f t="shared" si="11"/>
      </c>
      <c r="O76" s="80">
        <v>0.0001</v>
      </c>
      <c r="P76" s="81" t="e">
        <f>IF(OR(ISBLANK(O76),O76-0.2*O76&gt;$D$12),#N/A,O76)</f>
        <v>#N/A</v>
      </c>
      <c r="Q76" s="82" t="e">
        <f aca="true" t="shared" si="12" ref="Q76:Q107">IF(OR(ISBLANK(O76),O76-0.2*O76&gt;$D$12,ISERROR($C$47),ISTEXT(C$46),ISTEXT(C$47)),#N/A,($C$47*O76+$C$46)/O76*100)</f>
        <v>#N/A</v>
      </c>
      <c r="R76" s="313">
        <f>IF(OR(ISERROR(Q76),ISERROR(Q77)),"",IF(OR(Q76&lt;0,Q76&lt;Q77),1,0))</f>
      </c>
    </row>
    <row r="77" spans="3:18" ht="12.75">
      <c r="C77" s="306">
        <f t="shared" si="11"/>
      </c>
      <c r="D77" s="306">
        <f t="shared" si="11"/>
      </c>
      <c r="E77" s="306">
        <f t="shared" si="11"/>
      </c>
      <c r="F77" s="306">
        <f t="shared" si="11"/>
      </c>
      <c r="G77" s="306">
        <f t="shared" si="11"/>
      </c>
      <c r="H77" s="306">
        <f t="shared" si="11"/>
      </c>
      <c r="I77" s="306">
        <f t="shared" si="11"/>
      </c>
      <c r="J77" s="306">
        <f t="shared" si="11"/>
      </c>
      <c r="O77" s="83">
        <f>O76*1.2</f>
        <v>0.00012</v>
      </c>
      <c r="P77" s="75" t="e">
        <f>IF(OR(ISBLANK(O77),O77-0.2*O77&gt;$D$12),#N/A,O77)</f>
        <v>#N/A</v>
      </c>
      <c r="Q77" s="84" t="e">
        <f t="shared" si="12"/>
        <v>#N/A</v>
      </c>
      <c r="R77" s="313">
        <f aca="true" t="shared" si="13" ref="R77:R140">IF(OR(ISERROR(Q77),ISERROR(Q78)),"",IF(OR(Q77&lt;0,Q77&lt;Q78),1,0))</f>
      </c>
    </row>
    <row r="78" spans="15:18" ht="12.75">
      <c r="O78" s="83">
        <f aca="true" t="shared" si="14" ref="O78:O90">O77*1.2</f>
        <v>0.000144</v>
      </c>
      <c r="P78" s="75" t="e">
        <f aca="true" t="shared" si="15" ref="P78:P141">IF(OR(ISBLANK(O78),O78-0.2*O78&gt;$D$12),#N/A,O78)</f>
        <v>#N/A</v>
      </c>
      <c r="Q78" s="84" t="e">
        <f t="shared" si="12"/>
        <v>#N/A</v>
      </c>
      <c r="R78" s="313">
        <f t="shared" si="13"/>
      </c>
    </row>
    <row r="79" spans="2:18" ht="12.75">
      <c r="B79" s="300"/>
      <c r="C79" s="299" t="s">
        <v>333</v>
      </c>
      <c r="D79" s="300"/>
      <c r="E79" s="300"/>
      <c r="F79" s="300"/>
      <c r="G79" s="300"/>
      <c r="H79" s="300"/>
      <c r="O79" s="83">
        <f t="shared" si="14"/>
        <v>0.0001728</v>
      </c>
      <c r="P79" s="75" t="e">
        <f t="shared" si="15"/>
        <v>#N/A</v>
      </c>
      <c r="Q79" s="84" t="e">
        <f t="shared" si="12"/>
        <v>#N/A</v>
      </c>
      <c r="R79" s="313">
        <f t="shared" si="13"/>
      </c>
    </row>
    <row r="80" spans="3:18" ht="12.75">
      <c r="C80" s="301">
        <f aca="true" t="shared" si="16" ref="C80:J84">IF(ISBLANK(C21),"",1*C21)</f>
      </c>
      <c r="D80" s="301">
        <f t="shared" si="16"/>
      </c>
      <c r="E80" s="301">
        <f t="shared" si="16"/>
      </c>
      <c r="F80" s="301">
        <f t="shared" si="16"/>
      </c>
      <c r="G80" s="301">
        <f t="shared" si="16"/>
      </c>
      <c r="H80" s="301">
        <f t="shared" si="16"/>
      </c>
      <c r="I80" s="301">
        <f t="shared" si="16"/>
      </c>
      <c r="J80" s="301">
        <f t="shared" si="16"/>
      </c>
      <c r="M80" s="301">
        <f>1*C38</f>
        <v>0</v>
      </c>
      <c r="O80" s="83">
        <f t="shared" si="14"/>
        <v>0.00020736</v>
      </c>
      <c r="P80" s="75" t="e">
        <f t="shared" si="15"/>
        <v>#N/A</v>
      </c>
      <c r="Q80" s="84" t="e">
        <f t="shared" si="12"/>
        <v>#N/A</v>
      </c>
      <c r="R80" s="313">
        <f t="shared" si="13"/>
      </c>
    </row>
    <row r="81" spans="3:18" ht="12.75">
      <c r="C81" s="302">
        <f t="shared" si="16"/>
      </c>
      <c r="D81" s="302">
        <f t="shared" si="16"/>
      </c>
      <c r="E81" s="302">
        <f t="shared" si="16"/>
      </c>
      <c r="F81" s="302">
        <f t="shared" si="16"/>
      </c>
      <c r="G81" s="302">
        <f t="shared" si="16"/>
      </c>
      <c r="H81" s="302">
        <f t="shared" si="16"/>
      </c>
      <c r="I81" s="302">
        <f t="shared" si="16"/>
      </c>
      <c r="J81" s="302">
        <f t="shared" si="16"/>
      </c>
      <c r="M81" s="302">
        <f>1*C39</f>
        <v>0</v>
      </c>
      <c r="O81" s="83">
        <f t="shared" si="14"/>
        <v>0.000248832</v>
      </c>
      <c r="P81" s="75" t="e">
        <f t="shared" si="15"/>
        <v>#N/A</v>
      </c>
      <c r="Q81" s="84" t="e">
        <f t="shared" si="12"/>
        <v>#N/A</v>
      </c>
      <c r="R81" s="313">
        <f t="shared" si="13"/>
      </c>
    </row>
    <row r="82" spans="3:18" ht="409.5">
      <c r="C82" s="302">
        <f t="shared" si="16"/>
      </c>
      <c r="D82" s="302">
        <f t="shared" si="16"/>
      </c>
      <c r="E82" s="302">
        <f t="shared" si="16"/>
      </c>
      <c r="F82" s="302">
        <f t="shared" si="16"/>
      </c>
      <c r="G82" s="302">
        <f t="shared" si="16"/>
      </c>
      <c r="H82" s="302">
        <f t="shared" si="16"/>
      </c>
      <c r="I82" s="302">
        <f t="shared" si="16"/>
      </c>
      <c r="J82" s="302">
        <f t="shared" si="16"/>
      </c>
      <c r="M82" s="302">
        <f>1*C40</f>
        <v>0</v>
      </c>
      <c r="O82" s="83">
        <f t="shared" si="14"/>
        <v>0.0002985984</v>
      </c>
      <c r="P82" s="75" t="e">
        <f t="shared" si="15"/>
        <v>#N/A</v>
      </c>
      <c r="Q82" s="84" t="e">
        <f t="shared" si="12"/>
        <v>#N/A</v>
      </c>
      <c r="R82" s="313">
        <f t="shared" si="13"/>
      </c>
    </row>
    <row r="83" spans="3:18" ht="409.5">
      <c r="C83" s="302">
        <f t="shared" si="16"/>
      </c>
      <c r="D83" s="302">
        <f t="shared" si="16"/>
      </c>
      <c r="E83" s="302">
        <f t="shared" si="16"/>
      </c>
      <c r="F83" s="302">
        <f t="shared" si="16"/>
      </c>
      <c r="G83" s="302">
        <f t="shared" si="16"/>
      </c>
      <c r="H83" s="302">
        <f t="shared" si="16"/>
      </c>
      <c r="I83" s="302">
        <f t="shared" si="16"/>
      </c>
      <c r="J83" s="302">
        <f t="shared" si="16"/>
      </c>
      <c r="M83" s="302">
        <f>1*C41</f>
        <v>0</v>
      </c>
      <c r="O83" s="83">
        <f t="shared" si="14"/>
        <v>0.00035831808</v>
      </c>
      <c r="P83" s="75" t="e">
        <f t="shared" si="15"/>
        <v>#N/A</v>
      </c>
      <c r="Q83" s="84" t="e">
        <f t="shared" si="12"/>
        <v>#N/A</v>
      </c>
      <c r="R83" s="313">
        <f t="shared" si="13"/>
      </c>
    </row>
    <row r="84" spans="3:18" ht="409.5">
      <c r="C84" s="303">
        <f t="shared" si="16"/>
      </c>
      <c r="D84" s="303">
        <f t="shared" si="16"/>
      </c>
      <c r="E84" s="303">
        <f t="shared" si="16"/>
      </c>
      <c r="F84" s="303">
        <f t="shared" si="16"/>
      </c>
      <c r="G84" s="303">
        <f t="shared" si="16"/>
      </c>
      <c r="H84" s="303">
        <f t="shared" si="16"/>
      </c>
      <c r="I84" s="303">
        <f t="shared" si="16"/>
      </c>
      <c r="J84" s="303">
        <f t="shared" si="16"/>
      </c>
      <c r="M84" s="303">
        <f>1*C42</f>
        <v>0</v>
      </c>
      <c r="O84" s="83">
        <f t="shared" si="14"/>
        <v>0.000429981696</v>
      </c>
      <c r="P84" s="75" t="e">
        <f t="shared" si="15"/>
        <v>#N/A</v>
      </c>
      <c r="Q84" s="84" t="e">
        <f t="shared" si="12"/>
        <v>#N/A</v>
      </c>
      <c r="R84" s="313">
        <f t="shared" si="13"/>
      </c>
    </row>
    <row r="85" spans="15:18" ht="409.5">
      <c r="O85" s="83">
        <f t="shared" si="14"/>
        <v>0.0005159780352</v>
      </c>
      <c r="P85" s="75" t="e">
        <f t="shared" si="15"/>
        <v>#N/A</v>
      </c>
      <c r="Q85" s="84" t="e">
        <f t="shared" si="12"/>
        <v>#N/A</v>
      </c>
      <c r="R85" s="313">
        <f t="shared" si="13"/>
      </c>
    </row>
    <row r="86" spans="1:18" ht="409.5">
      <c r="A86" s="197"/>
      <c r="B86" s="198"/>
      <c r="C86" s="199" t="s">
        <v>325</v>
      </c>
      <c r="D86" s="198"/>
      <c r="E86" s="198"/>
      <c r="F86" s="198"/>
      <c r="G86" s="198"/>
      <c r="H86" s="198"/>
      <c r="I86" s="198"/>
      <c r="J86" s="198"/>
      <c r="K86" s="198"/>
      <c r="L86" s="198"/>
      <c r="M86" s="200"/>
      <c r="O86" s="83">
        <f t="shared" si="14"/>
        <v>0.00061917364224</v>
      </c>
      <c r="P86" s="75" t="e">
        <f t="shared" si="15"/>
        <v>#N/A</v>
      </c>
      <c r="Q86" s="84" t="e">
        <f t="shared" si="12"/>
        <v>#N/A</v>
      </c>
      <c r="R86" s="313">
        <f t="shared" si="13"/>
      </c>
    </row>
    <row r="87" spans="1:18" ht="409.5">
      <c r="A87" s="201"/>
      <c r="B87" s="202" t="s">
        <v>227</v>
      </c>
      <c r="C87" s="210" t="str">
        <f>O13</f>
        <v>Ablesbarkeit?</v>
      </c>
      <c r="D87" s="208">
        <v>0</v>
      </c>
      <c r="E87" s="208">
        <v>1</v>
      </c>
      <c r="F87" s="208">
        <v>2</v>
      </c>
      <c r="G87" s="208">
        <v>3</v>
      </c>
      <c r="H87" s="208">
        <v>4</v>
      </c>
      <c r="I87" s="208">
        <v>5</v>
      </c>
      <c r="J87" s="208">
        <v>6</v>
      </c>
      <c r="K87" s="208"/>
      <c r="L87" s="208"/>
      <c r="M87" s="210"/>
      <c r="O87" s="83">
        <f t="shared" si="14"/>
        <v>0.000743008370688</v>
      </c>
      <c r="P87" s="75" t="e">
        <f t="shared" si="15"/>
        <v>#N/A</v>
      </c>
      <c r="Q87" s="84" t="e">
        <f t="shared" si="12"/>
        <v>#N/A</v>
      </c>
      <c r="R87" s="313">
        <f t="shared" si="13"/>
      </c>
    </row>
    <row r="88" spans="1:18" ht="409.5">
      <c r="A88" s="201"/>
      <c r="B88" s="202" t="s">
        <v>228</v>
      </c>
      <c r="C88" s="210">
        <f>IF(D13&gt;1000,2,IF(D13&lt;0.01,8,O13+2))</f>
        <v>8</v>
      </c>
      <c r="D88" s="208">
        <v>2</v>
      </c>
      <c r="E88" s="208">
        <v>3</v>
      </c>
      <c r="F88" s="208">
        <v>4</v>
      </c>
      <c r="G88" s="208">
        <v>5</v>
      </c>
      <c r="H88" s="208">
        <v>6</v>
      </c>
      <c r="I88" s="208">
        <v>7</v>
      </c>
      <c r="J88" s="210">
        <v>8</v>
      </c>
      <c r="K88" s="434" t="s">
        <v>475</v>
      </c>
      <c r="L88" s="208"/>
      <c r="M88" s="210"/>
      <c r="O88" s="83">
        <f t="shared" si="14"/>
        <v>0.0008916100448256</v>
      </c>
      <c r="P88" s="75" t="e">
        <f t="shared" si="15"/>
        <v>#N/A</v>
      </c>
      <c r="Q88" s="84" t="e">
        <f t="shared" si="12"/>
        <v>#N/A</v>
      </c>
      <c r="R88" s="313">
        <f t="shared" si="13"/>
      </c>
    </row>
    <row r="89" spans="1:18" ht="409.5">
      <c r="A89" s="201"/>
      <c r="B89" s="202"/>
      <c r="C89" s="211">
        <v>0</v>
      </c>
      <c r="D89" s="203">
        <v>5000</v>
      </c>
      <c r="E89" s="203">
        <v>500</v>
      </c>
      <c r="F89" s="203">
        <v>50</v>
      </c>
      <c r="G89" s="203">
        <v>5</v>
      </c>
      <c r="H89" s="203">
        <v>0.5</v>
      </c>
      <c r="I89" s="203">
        <v>0.05</v>
      </c>
      <c r="J89" s="204">
        <v>0.005</v>
      </c>
      <c r="K89" s="203"/>
      <c r="L89" s="203" t="s">
        <v>229</v>
      </c>
      <c r="M89" s="204"/>
      <c r="O89" s="83">
        <f t="shared" si="14"/>
        <v>0.00106993205379072</v>
      </c>
      <c r="P89" s="75" t="e">
        <f t="shared" si="15"/>
        <v>#N/A</v>
      </c>
      <c r="Q89" s="84" t="e">
        <f t="shared" si="12"/>
        <v>#N/A</v>
      </c>
      <c r="R89" s="313">
        <f t="shared" si="13"/>
      </c>
    </row>
    <row r="90" spans="1:18" ht="409.5">
      <c r="A90" s="201"/>
      <c r="B90" s="203"/>
      <c r="C90" s="211">
        <v>0.001</v>
      </c>
      <c r="D90" s="203">
        <v>5000</v>
      </c>
      <c r="E90" s="203">
        <v>500</v>
      </c>
      <c r="F90" s="203">
        <v>50</v>
      </c>
      <c r="G90" s="203">
        <v>5</v>
      </c>
      <c r="H90" s="203">
        <v>0.5</v>
      </c>
      <c r="I90" s="203">
        <v>0.06</v>
      </c>
      <c r="J90" s="204">
        <v>0.06</v>
      </c>
      <c r="K90" s="203" t="s">
        <v>452</v>
      </c>
      <c r="L90" s="203"/>
      <c r="M90" s="204"/>
      <c r="O90" s="83">
        <f t="shared" si="14"/>
        <v>0.0012839184645488638</v>
      </c>
      <c r="P90" s="75" t="e">
        <f t="shared" si="15"/>
        <v>#N/A</v>
      </c>
      <c r="Q90" s="84" t="e">
        <f t="shared" si="12"/>
        <v>#N/A</v>
      </c>
      <c r="R90" s="313">
        <f t="shared" si="13"/>
      </c>
    </row>
    <row r="91" spans="1:18" ht="409.5">
      <c r="A91" s="201"/>
      <c r="B91" s="203"/>
      <c r="C91" s="211">
        <v>0.002</v>
      </c>
      <c r="D91" s="203">
        <v>5000</v>
      </c>
      <c r="E91" s="203">
        <v>500</v>
      </c>
      <c r="F91" s="203">
        <v>50</v>
      </c>
      <c r="G91" s="203">
        <v>5</v>
      </c>
      <c r="H91" s="203">
        <v>0.5</v>
      </c>
      <c r="I91" s="203">
        <v>0.06</v>
      </c>
      <c r="J91" s="204">
        <v>0.06</v>
      </c>
      <c r="K91" s="203" t="s">
        <v>452</v>
      </c>
      <c r="L91" s="203"/>
      <c r="M91" s="204"/>
      <c r="O91" s="83">
        <f aca="true" t="shared" si="17" ref="O91:O116">O90*1.2</f>
        <v>0.0015407021574586365</v>
      </c>
      <c r="P91" s="75" t="e">
        <f t="shared" si="15"/>
        <v>#N/A</v>
      </c>
      <c r="Q91" s="84" t="e">
        <f t="shared" si="12"/>
        <v>#N/A</v>
      </c>
      <c r="R91" s="313">
        <f t="shared" si="13"/>
      </c>
    </row>
    <row r="92" spans="1:18" ht="409.5">
      <c r="A92" s="201"/>
      <c r="B92" s="203"/>
      <c r="C92" s="211">
        <v>0.005</v>
      </c>
      <c r="D92" s="203">
        <v>5000</v>
      </c>
      <c r="E92" s="203">
        <v>500</v>
      </c>
      <c r="F92" s="203">
        <v>50</v>
      </c>
      <c r="G92" s="203">
        <v>5</v>
      </c>
      <c r="H92" s="203">
        <v>0.5</v>
      </c>
      <c r="I92" s="203">
        <v>0.06</v>
      </c>
      <c r="J92" s="204">
        <v>0.06</v>
      </c>
      <c r="K92" s="203" t="s">
        <v>452</v>
      </c>
      <c r="L92" s="203"/>
      <c r="M92" s="204"/>
      <c r="O92" s="83">
        <f t="shared" si="17"/>
        <v>0.0018488425889503638</v>
      </c>
      <c r="P92" s="75" t="e">
        <f t="shared" si="15"/>
        <v>#N/A</v>
      </c>
      <c r="Q92" s="84" t="e">
        <f t="shared" si="12"/>
        <v>#N/A</v>
      </c>
      <c r="R92" s="313">
        <f t="shared" si="13"/>
      </c>
    </row>
    <row r="93" spans="1:18" ht="409.5">
      <c r="A93" s="201"/>
      <c r="B93" s="203"/>
      <c r="C93" s="211">
        <v>0.01</v>
      </c>
      <c r="D93" s="203">
        <v>5000</v>
      </c>
      <c r="E93" s="203">
        <v>500</v>
      </c>
      <c r="F93" s="203">
        <v>50</v>
      </c>
      <c r="G93" s="203">
        <v>5</v>
      </c>
      <c r="H93" s="203">
        <v>0.5</v>
      </c>
      <c r="I93" s="203">
        <v>0.08</v>
      </c>
      <c r="J93" s="204">
        <v>0.08</v>
      </c>
      <c r="K93" s="203" t="s">
        <v>453</v>
      </c>
      <c r="L93" s="203"/>
      <c r="M93" s="204"/>
      <c r="O93" s="83">
        <f t="shared" si="17"/>
        <v>0.0022186111067404365</v>
      </c>
      <c r="P93" s="75" t="e">
        <f t="shared" si="15"/>
        <v>#N/A</v>
      </c>
      <c r="Q93" s="84" t="e">
        <f t="shared" si="12"/>
        <v>#N/A</v>
      </c>
      <c r="R93" s="313">
        <f t="shared" si="13"/>
      </c>
    </row>
    <row r="94" spans="1:18" ht="409.5">
      <c r="A94" s="201"/>
      <c r="B94" s="203"/>
      <c r="C94" s="211">
        <v>0.02</v>
      </c>
      <c r="D94" s="203">
        <v>5000</v>
      </c>
      <c r="E94" s="203">
        <v>500</v>
      </c>
      <c r="F94" s="203">
        <v>50</v>
      </c>
      <c r="G94" s="203">
        <v>5</v>
      </c>
      <c r="H94" s="203">
        <v>0.5</v>
      </c>
      <c r="I94" s="203">
        <v>0.1</v>
      </c>
      <c r="J94" s="204">
        <v>0.1</v>
      </c>
      <c r="K94" s="203" t="s">
        <v>454</v>
      </c>
      <c r="L94" s="203"/>
      <c r="M94" s="204"/>
      <c r="O94" s="83">
        <f t="shared" si="17"/>
        <v>0.0026623333280885236</v>
      </c>
      <c r="P94" s="75" t="e">
        <f t="shared" si="15"/>
        <v>#N/A</v>
      </c>
      <c r="Q94" s="84" t="e">
        <f t="shared" si="12"/>
        <v>#N/A</v>
      </c>
      <c r="R94" s="313">
        <f t="shared" si="13"/>
      </c>
    </row>
    <row r="95" spans="1:18" ht="409.5">
      <c r="A95" s="201"/>
      <c r="B95" s="203"/>
      <c r="C95" s="211">
        <v>0.05</v>
      </c>
      <c r="D95" s="203">
        <v>5000</v>
      </c>
      <c r="E95" s="203">
        <v>500</v>
      </c>
      <c r="F95" s="203">
        <v>50</v>
      </c>
      <c r="G95" s="203">
        <v>5</v>
      </c>
      <c r="H95" s="203">
        <v>0.5</v>
      </c>
      <c r="I95" s="203">
        <v>0.12</v>
      </c>
      <c r="J95" s="204">
        <v>0.12</v>
      </c>
      <c r="K95" s="203" t="s">
        <v>455</v>
      </c>
      <c r="L95" s="203"/>
      <c r="M95" s="204"/>
      <c r="O95" s="83">
        <f t="shared" si="17"/>
        <v>0.0031947999937062283</v>
      </c>
      <c r="P95" s="75" t="e">
        <f t="shared" si="15"/>
        <v>#N/A</v>
      </c>
      <c r="Q95" s="84" t="e">
        <f t="shared" si="12"/>
        <v>#N/A</v>
      </c>
      <c r="R95" s="313">
        <f t="shared" si="13"/>
      </c>
    </row>
    <row r="96" spans="1:18" ht="409.5">
      <c r="A96" s="201"/>
      <c r="B96" s="203"/>
      <c r="C96" s="211">
        <v>0.1</v>
      </c>
      <c r="D96" s="203">
        <v>5000</v>
      </c>
      <c r="E96" s="203">
        <v>500</v>
      </c>
      <c r="F96" s="203">
        <v>50</v>
      </c>
      <c r="G96" s="203">
        <v>5</v>
      </c>
      <c r="H96" s="203">
        <v>0.5</v>
      </c>
      <c r="I96" s="203">
        <v>0.16</v>
      </c>
      <c r="J96" s="204">
        <v>0.16</v>
      </c>
      <c r="K96" s="203" t="s">
        <v>456</v>
      </c>
      <c r="L96" s="203"/>
      <c r="M96" s="204"/>
      <c r="O96" s="83">
        <f t="shared" si="17"/>
        <v>0.003833759992447474</v>
      </c>
      <c r="P96" s="75" t="e">
        <f t="shared" si="15"/>
        <v>#N/A</v>
      </c>
      <c r="Q96" s="84" t="e">
        <f t="shared" si="12"/>
        <v>#N/A</v>
      </c>
      <c r="R96" s="313">
        <f t="shared" si="13"/>
      </c>
    </row>
    <row r="97" spans="1:18" ht="409.5">
      <c r="A97" s="201"/>
      <c r="B97" s="203"/>
      <c r="C97" s="211">
        <v>0.2</v>
      </c>
      <c r="D97" s="203">
        <v>5000</v>
      </c>
      <c r="E97" s="203">
        <v>500</v>
      </c>
      <c r="F97" s="203">
        <v>50</v>
      </c>
      <c r="G97" s="203">
        <v>5</v>
      </c>
      <c r="H97" s="203">
        <v>0.5</v>
      </c>
      <c r="I97" s="203">
        <v>0.2</v>
      </c>
      <c r="J97" s="204">
        <v>0.2</v>
      </c>
      <c r="K97" s="203" t="s">
        <v>457</v>
      </c>
      <c r="L97" s="203"/>
      <c r="M97" s="204"/>
      <c r="O97" s="83">
        <f t="shared" si="17"/>
        <v>0.004600511990936969</v>
      </c>
      <c r="P97" s="75" t="e">
        <f t="shared" si="15"/>
        <v>#N/A</v>
      </c>
      <c r="Q97" s="84" t="e">
        <f t="shared" si="12"/>
        <v>#N/A</v>
      </c>
      <c r="R97" s="313">
        <f t="shared" si="13"/>
      </c>
    </row>
    <row r="98" spans="1:18" ht="409.5">
      <c r="A98" s="201"/>
      <c r="B98" s="203"/>
      <c r="C98" s="211">
        <v>0.5</v>
      </c>
      <c r="D98" s="203">
        <v>5000</v>
      </c>
      <c r="E98" s="203">
        <v>500</v>
      </c>
      <c r="F98" s="203">
        <v>50</v>
      </c>
      <c r="G98" s="203">
        <v>5</v>
      </c>
      <c r="H98" s="203">
        <v>0.5</v>
      </c>
      <c r="I98" s="203">
        <v>0.25</v>
      </c>
      <c r="J98" s="204">
        <v>0.25</v>
      </c>
      <c r="K98" s="203" t="s">
        <v>458</v>
      </c>
      <c r="L98" s="203"/>
      <c r="M98" s="204"/>
      <c r="O98" s="83">
        <f t="shared" si="17"/>
        <v>0.005520614389124362</v>
      </c>
      <c r="P98" s="75" t="e">
        <f t="shared" si="15"/>
        <v>#N/A</v>
      </c>
      <c r="Q98" s="84" t="e">
        <f t="shared" si="12"/>
        <v>#N/A</v>
      </c>
      <c r="R98" s="313">
        <f t="shared" si="13"/>
      </c>
    </row>
    <row r="99" spans="1:18" ht="409.5">
      <c r="A99" s="201"/>
      <c r="B99" s="203"/>
      <c r="C99" s="211">
        <v>1</v>
      </c>
      <c r="D99" s="203">
        <v>5000</v>
      </c>
      <c r="E99" s="203">
        <v>500</v>
      </c>
      <c r="F99" s="203">
        <v>50</v>
      </c>
      <c r="G99" s="203">
        <v>5</v>
      </c>
      <c r="H99" s="203">
        <v>0.5</v>
      </c>
      <c r="I99" s="203">
        <v>0.3</v>
      </c>
      <c r="J99" s="204">
        <v>0.3</v>
      </c>
      <c r="K99" s="203" t="s">
        <v>459</v>
      </c>
      <c r="L99" s="203"/>
      <c r="M99" s="204"/>
      <c r="O99" s="83">
        <f t="shared" si="17"/>
        <v>0.006624737266949235</v>
      </c>
      <c r="P99" s="75" t="e">
        <f t="shared" si="15"/>
        <v>#N/A</v>
      </c>
      <c r="Q99" s="84" t="e">
        <f t="shared" si="12"/>
        <v>#N/A</v>
      </c>
      <c r="R99" s="313">
        <f t="shared" si="13"/>
      </c>
    </row>
    <row r="100" spans="1:18" ht="409.5">
      <c r="A100" s="201"/>
      <c r="B100" s="203"/>
      <c r="C100" s="211">
        <v>2</v>
      </c>
      <c r="D100" s="203">
        <v>5000</v>
      </c>
      <c r="E100" s="203">
        <v>500</v>
      </c>
      <c r="F100" s="203">
        <v>50</v>
      </c>
      <c r="G100" s="203">
        <v>5</v>
      </c>
      <c r="H100" s="203">
        <v>0.5</v>
      </c>
      <c r="I100" s="203">
        <v>0.4</v>
      </c>
      <c r="J100" s="204">
        <v>0.4</v>
      </c>
      <c r="K100" s="203" t="s">
        <v>460</v>
      </c>
      <c r="L100" s="203"/>
      <c r="M100" s="204"/>
      <c r="O100" s="83">
        <f t="shared" si="17"/>
        <v>0.007949684720339082</v>
      </c>
      <c r="P100" s="75" t="e">
        <f t="shared" si="15"/>
        <v>#N/A</v>
      </c>
      <c r="Q100" s="84" t="e">
        <f t="shared" si="12"/>
        <v>#N/A</v>
      </c>
      <c r="R100" s="313">
        <f t="shared" si="13"/>
      </c>
    </row>
    <row r="101" spans="1:18" ht="409.5">
      <c r="A101" s="201"/>
      <c r="B101" s="203"/>
      <c r="C101" s="211">
        <v>5</v>
      </c>
      <c r="D101" s="203">
        <v>5000</v>
      </c>
      <c r="E101" s="203">
        <v>500</v>
      </c>
      <c r="F101" s="203">
        <v>50</v>
      </c>
      <c r="G101" s="203">
        <v>5</v>
      </c>
      <c r="H101" s="203">
        <v>0.5</v>
      </c>
      <c r="I101" s="203">
        <v>0.5</v>
      </c>
      <c r="J101" s="204">
        <v>0.5</v>
      </c>
      <c r="K101" s="203" t="s">
        <v>461</v>
      </c>
      <c r="L101" s="203"/>
      <c r="M101" s="204"/>
      <c r="O101" s="83">
        <f t="shared" si="17"/>
        <v>0.009539621664406897</v>
      </c>
      <c r="P101" s="75" t="e">
        <f t="shared" si="15"/>
        <v>#N/A</v>
      </c>
      <c r="Q101" s="84" t="e">
        <f t="shared" si="12"/>
        <v>#N/A</v>
      </c>
      <c r="R101" s="313">
        <f t="shared" si="13"/>
      </c>
    </row>
    <row r="102" spans="1:18" ht="409.5">
      <c r="A102" s="201"/>
      <c r="B102" s="203"/>
      <c r="C102" s="211">
        <v>10</v>
      </c>
      <c r="D102" s="203">
        <v>5000</v>
      </c>
      <c r="E102" s="203">
        <v>500</v>
      </c>
      <c r="F102" s="203">
        <v>50</v>
      </c>
      <c r="G102" s="203">
        <v>5</v>
      </c>
      <c r="H102" s="203">
        <v>0.6</v>
      </c>
      <c r="I102" s="203">
        <v>0.6</v>
      </c>
      <c r="J102" s="204">
        <v>0.6</v>
      </c>
      <c r="K102" s="203" t="s">
        <v>462</v>
      </c>
      <c r="L102" s="203"/>
      <c r="M102" s="204"/>
      <c r="O102" s="83">
        <f t="shared" si="17"/>
        <v>0.011447545997288276</v>
      </c>
      <c r="P102" s="75" t="e">
        <f t="shared" si="15"/>
        <v>#N/A</v>
      </c>
      <c r="Q102" s="84" t="e">
        <f t="shared" si="12"/>
        <v>#N/A</v>
      </c>
      <c r="R102" s="313">
        <f t="shared" si="13"/>
      </c>
    </row>
    <row r="103" spans="1:18" ht="409.5">
      <c r="A103" s="201"/>
      <c r="B103" s="203"/>
      <c r="C103" s="211">
        <v>20</v>
      </c>
      <c r="D103" s="203">
        <v>5000</v>
      </c>
      <c r="E103" s="203">
        <v>500</v>
      </c>
      <c r="F103" s="203">
        <v>50</v>
      </c>
      <c r="G103" s="203">
        <v>5</v>
      </c>
      <c r="H103" s="203">
        <v>0.8</v>
      </c>
      <c r="I103" s="203">
        <v>0.8</v>
      </c>
      <c r="J103" s="204">
        <v>0.8</v>
      </c>
      <c r="K103" s="203" t="s">
        <v>463</v>
      </c>
      <c r="L103" s="203"/>
      <c r="M103" s="204"/>
      <c r="O103" s="83">
        <f t="shared" si="17"/>
        <v>0.013737055196745932</v>
      </c>
      <c r="P103" s="75" t="e">
        <f t="shared" si="15"/>
        <v>#N/A</v>
      </c>
      <c r="Q103" s="84" t="e">
        <f t="shared" si="12"/>
        <v>#N/A</v>
      </c>
      <c r="R103" s="313">
        <f t="shared" si="13"/>
      </c>
    </row>
    <row r="104" spans="1:18" ht="409.5">
      <c r="A104" s="201"/>
      <c r="B104" s="203"/>
      <c r="C104" s="211">
        <v>50</v>
      </c>
      <c r="D104" s="203">
        <v>5000</v>
      </c>
      <c r="E104" s="203">
        <v>500</v>
      </c>
      <c r="F104" s="203">
        <v>50</v>
      </c>
      <c r="G104" s="203">
        <v>5</v>
      </c>
      <c r="H104" s="203">
        <v>1</v>
      </c>
      <c r="I104" s="203">
        <v>1</v>
      </c>
      <c r="J104" s="204">
        <v>1</v>
      </c>
      <c r="K104" s="203" t="s">
        <v>464</v>
      </c>
      <c r="L104" s="203"/>
      <c r="M104" s="204"/>
      <c r="O104" s="83">
        <f t="shared" si="17"/>
        <v>0.01648446623609512</v>
      </c>
      <c r="P104" s="75" t="e">
        <f t="shared" si="15"/>
        <v>#N/A</v>
      </c>
      <c r="Q104" s="84" t="e">
        <f t="shared" si="12"/>
        <v>#N/A</v>
      </c>
      <c r="R104" s="313">
        <f t="shared" si="13"/>
      </c>
    </row>
    <row r="105" spans="1:18" ht="409.5">
      <c r="A105" s="201"/>
      <c r="B105" s="203"/>
      <c r="C105" s="211">
        <v>100</v>
      </c>
      <c r="D105" s="203">
        <v>5000</v>
      </c>
      <c r="E105" s="203">
        <v>500</v>
      </c>
      <c r="F105" s="203">
        <v>50</v>
      </c>
      <c r="G105" s="203">
        <v>5</v>
      </c>
      <c r="H105" s="203">
        <v>1.6</v>
      </c>
      <c r="I105" s="203">
        <v>1.6</v>
      </c>
      <c r="J105" s="204">
        <v>1.6</v>
      </c>
      <c r="K105" s="203" t="s">
        <v>465</v>
      </c>
      <c r="L105" s="203"/>
      <c r="M105" s="204"/>
      <c r="O105" s="83">
        <f t="shared" si="17"/>
        <v>0.01978135948331414</v>
      </c>
      <c r="P105" s="75" t="e">
        <f t="shared" si="15"/>
        <v>#N/A</v>
      </c>
      <c r="Q105" s="84" t="e">
        <f t="shared" si="12"/>
        <v>#N/A</v>
      </c>
      <c r="R105" s="313">
        <f t="shared" si="13"/>
      </c>
    </row>
    <row r="106" spans="1:18" ht="409.5">
      <c r="A106" s="201"/>
      <c r="B106" s="203"/>
      <c r="C106" s="211">
        <v>200</v>
      </c>
      <c r="D106" s="203">
        <v>5000</v>
      </c>
      <c r="E106" s="203">
        <v>500</v>
      </c>
      <c r="F106" s="203">
        <v>50</v>
      </c>
      <c r="G106" s="203">
        <v>5</v>
      </c>
      <c r="H106" s="203">
        <v>3</v>
      </c>
      <c r="I106" s="203">
        <v>3</v>
      </c>
      <c r="J106" s="204">
        <v>3</v>
      </c>
      <c r="K106" s="203" t="s">
        <v>466</v>
      </c>
      <c r="L106" s="203"/>
      <c r="M106" s="204"/>
      <c r="O106" s="83">
        <f t="shared" si="17"/>
        <v>0.02373763137997697</v>
      </c>
      <c r="P106" s="75" t="e">
        <f t="shared" si="15"/>
        <v>#N/A</v>
      </c>
      <c r="Q106" s="84" t="e">
        <f t="shared" si="12"/>
        <v>#N/A</v>
      </c>
      <c r="R106" s="313">
        <f t="shared" si="13"/>
      </c>
    </row>
    <row r="107" spans="1:18" ht="409.5">
      <c r="A107" s="201"/>
      <c r="B107" s="203"/>
      <c r="C107" s="211">
        <v>500</v>
      </c>
      <c r="D107" s="203">
        <v>5000</v>
      </c>
      <c r="E107" s="203">
        <v>500</v>
      </c>
      <c r="F107" s="203">
        <v>50</v>
      </c>
      <c r="G107" s="203">
        <v>8</v>
      </c>
      <c r="H107" s="203">
        <v>8</v>
      </c>
      <c r="I107" s="203">
        <v>8</v>
      </c>
      <c r="J107" s="204">
        <v>8</v>
      </c>
      <c r="K107" s="203" t="s">
        <v>467</v>
      </c>
      <c r="L107" s="203"/>
      <c r="M107" s="204"/>
      <c r="O107" s="83">
        <f t="shared" si="17"/>
        <v>0.02848515765597236</v>
      </c>
      <c r="P107" s="75" t="e">
        <f t="shared" si="15"/>
        <v>#N/A</v>
      </c>
      <c r="Q107" s="84" t="e">
        <f t="shared" si="12"/>
        <v>#N/A</v>
      </c>
      <c r="R107" s="313">
        <f t="shared" si="13"/>
      </c>
    </row>
    <row r="108" spans="1:18" ht="409.5">
      <c r="A108" s="201"/>
      <c r="B108" s="203"/>
      <c r="C108" s="211">
        <v>1000</v>
      </c>
      <c r="D108" s="203">
        <v>5000</v>
      </c>
      <c r="E108" s="203">
        <v>500</v>
      </c>
      <c r="F108" s="203">
        <v>50</v>
      </c>
      <c r="G108" s="203">
        <v>16</v>
      </c>
      <c r="H108" s="203">
        <v>16</v>
      </c>
      <c r="I108" s="203">
        <v>16</v>
      </c>
      <c r="J108" s="204">
        <v>16</v>
      </c>
      <c r="K108" s="203" t="s">
        <v>468</v>
      </c>
      <c r="L108" s="203"/>
      <c r="M108" s="204"/>
      <c r="O108" s="83">
        <f t="shared" si="17"/>
        <v>0.03418218918716683</v>
      </c>
      <c r="P108" s="75" t="e">
        <f t="shared" si="15"/>
        <v>#N/A</v>
      </c>
      <c r="Q108" s="84" t="e">
        <f aca="true" t="shared" si="18" ref="Q108:Q139">IF(OR(ISBLANK(O108),O108-0.2*O108&gt;$D$12,ISERROR($C$47),ISTEXT(C$46),ISTEXT(C$47)),#N/A,($C$47*O108+$C$46)/O108*100)</f>
        <v>#N/A</v>
      </c>
      <c r="R108" s="313">
        <f t="shared" si="13"/>
      </c>
    </row>
    <row r="109" spans="1:18" ht="409.5">
      <c r="A109" s="201"/>
      <c r="B109" s="203"/>
      <c r="C109" s="211">
        <v>2000</v>
      </c>
      <c r="D109" s="203">
        <v>5000</v>
      </c>
      <c r="E109" s="203">
        <v>500</v>
      </c>
      <c r="F109" s="203">
        <v>50</v>
      </c>
      <c r="G109" s="203">
        <v>30</v>
      </c>
      <c r="H109" s="203">
        <v>30</v>
      </c>
      <c r="I109" s="203">
        <v>30</v>
      </c>
      <c r="J109" s="204">
        <v>30</v>
      </c>
      <c r="K109" s="203" t="s">
        <v>469</v>
      </c>
      <c r="L109" s="203"/>
      <c r="M109" s="204"/>
      <c r="O109" s="83">
        <f t="shared" si="17"/>
        <v>0.0410186270246002</v>
      </c>
      <c r="P109" s="75" t="e">
        <f t="shared" si="15"/>
        <v>#N/A</v>
      </c>
      <c r="Q109" s="84" t="e">
        <f t="shared" si="18"/>
        <v>#N/A</v>
      </c>
      <c r="R109" s="313">
        <f t="shared" si="13"/>
      </c>
    </row>
    <row r="110" spans="1:18" ht="409.5">
      <c r="A110" s="201"/>
      <c r="B110" s="203"/>
      <c r="C110" s="211">
        <v>5000</v>
      </c>
      <c r="D110" s="203">
        <v>5000</v>
      </c>
      <c r="E110" s="203">
        <v>500</v>
      </c>
      <c r="F110" s="203">
        <v>80</v>
      </c>
      <c r="G110" s="203">
        <v>80</v>
      </c>
      <c r="H110" s="203">
        <v>80</v>
      </c>
      <c r="I110" s="203">
        <v>80</v>
      </c>
      <c r="J110" s="204">
        <v>80</v>
      </c>
      <c r="K110" s="203" t="s">
        <v>470</v>
      </c>
      <c r="L110" s="203"/>
      <c r="M110" s="204"/>
      <c r="O110" s="83">
        <f t="shared" si="17"/>
        <v>0.049222352429520236</v>
      </c>
      <c r="P110" s="75" t="e">
        <f t="shared" si="15"/>
        <v>#N/A</v>
      </c>
      <c r="Q110" s="84" t="e">
        <f t="shared" si="18"/>
        <v>#N/A</v>
      </c>
      <c r="R110" s="313">
        <f t="shared" si="13"/>
      </c>
    </row>
    <row r="111" spans="1:18" ht="409.5">
      <c r="A111" s="201"/>
      <c r="B111" s="203"/>
      <c r="C111" s="211">
        <v>10000</v>
      </c>
      <c r="D111" s="203">
        <v>5000</v>
      </c>
      <c r="E111" s="203">
        <v>500</v>
      </c>
      <c r="F111" s="203">
        <v>160</v>
      </c>
      <c r="G111" s="203">
        <v>160</v>
      </c>
      <c r="H111" s="203">
        <v>160</v>
      </c>
      <c r="I111" s="203">
        <v>160</v>
      </c>
      <c r="J111" s="204">
        <v>160</v>
      </c>
      <c r="K111" s="203" t="s">
        <v>471</v>
      </c>
      <c r="L111" s="203"/>
      <c r="M111" s="204"/>
      <c r="O111" s="83">
        <f t="shared" si="17"/>
        <v>0.05906682291542428</v>
      </c>
      <c r="P111" s="75" t="e">
        <f t="shared" si="15"/>
        <v>#N/A</v>
      </c>
      <c r="Q111" s="84" t="e">
        <f t="shared" si="18"/>
        <v>#N/A</v>
      </c>
      <c r="R111" s="313">
        <f t="shared" si="13"/>
      </c>
    </row>
    <row r="112" spans="1:18" ht="409.5">
      <c r="A112" s="201"/>
      <c r="B112" s="203"/>
      <c r="C112" s="211">
        <v>20000</v>
      </c>
      <c r="D112" s="203">
        <v>5000</v>
      </c>
      <c r="E112" s="203">
        <v>500</v>
      </c>
      <c r="F112" s="203">
        <v>300</v>
      </c>
      <c r="G112" s="203">
        <v>300</v>
      </c>
      <c r="H112" s="203">
        <v>300</v>
      </c>
      <c r="I112" s="203">
        <v>300</v>
      </c>
      <c r="J112" s="204">
        <v>300</v>
      </c>
      <c r="K112" s="203" t="s">
        <v>472</v>
      </c>
      <c r="L112" s="203"/>
      <c r="M112" s="204"/>
      <c r="O112" s="83">
        <f t="shared" si="17"/>
        <v>0.07088018749850913</v>
      </c>
      <c r="P112" s="75" t="e">
        <f t="shared" si="15"/>
        <v>#N/A</v>
      </c>
      <c r="Q112" s="84" t="e">
        <f t="shared" si="18"/>
        <v>#N/A</v>
      </c>
      <c r="R112" s="313">
        <f t="shared" si="13"/>
      </c>
    </row>
    <row r="113" spans="1:18" ht="409.5">
      <c r="A113" s="201"/>
      <c r="B113" s="203"/>
      <c r="C113" s="211">
        <v>50000</v>
      </c>
      <c r="D113" s="203">
        <v>5000</v>
      </c>
      <c r="E113" s="203">
        <v>800</v>
      </c>
      <c r="F113" s="203">
        <v>800</v>
      </c>
      <c r="G113" s="203">
        <v>800</v>
      </c>
      <c r="H113" s="203">
        <v>800</v>
      </c>
      <c r="I113" s="203">
        <v>800</v>
      </c>
      <c r="J113" s="204">
        <v>800</v>
      </c>
      <c r="K113" s="203" t="s">
        <v>473</v>
      </c>
      <c r="L113" s="203"/>
      <c r="M113" s="204"/>
      <c r="O113" s="83">
        <f t="shared" si="17"/>
        <v>0.08505622499821096</v>
      </c>
      <c r="P113" s="75" t="e">
        <f t="shared" si="15"/>
        <v>#N/A</v>
      </c>
      <c r="Q113" s="84" t="e">
        <f t="shared" si="18"/>
        <v>#N/A</v>
      </c>
      <c r="R113" s="313">
        <f t="shared" si="13"/>
      </c>
    </row>
    <row r="114" spans="1:18" ht="409.5">
      <c r="A114" s="201"/>
      <c r="B114" s="203"/>
      <c r="C114" s="211">
        <v>100000</v>
      </c>
      <c r="D114" s="203">
        <v>5000</v>
      </c>
      <c r="E114" s="203">
        <v>1600</v>
      </c>
      <c r="F114" s="203">
        <v>1600</v>
      </c>
      <c r="G114" s="203">
        <v>1600</v>
      </c>
      <c r="H114" s="203">
        <v>1600</v>
      </c>
      <c r="I114" s="203">
        <v>1600</v>
      </c>
      <c r="J114" s="204">
        <v>1600</v>
      </c>
      <c r="K114" s="203" t="s">
        <v>474</v>
      </c>
      <c r="L114" s="203"/>
      <c r="M114" s="204"/>
      <c r="O114" s="83">
        <f t="shared" si="17"/>
        <v>0.10206746999785314</v>
      </c>
      <c r="P114" s="75" t="e">
        <f t="shared" si="15"/>
        <v>#N/A</v>
      </c>
      <c r="Q114" s="84" t="e">
        <f t="shared" si="18"/>
        <v>#N/A</v>
      </c>
      <c r="R114" s="313">
        <f t="shared" si="13"/>
      </c>
    </row>
    <row r="115" spans="1:18" ht="409.5">
      <c r="A115" s="205" t="s">
        <v>232</v>
      </c>
      <c r="B115" s="203"/>
      <c r="C115" s="203"/>
      <c r="D115" s="203"/>
      <c r="E115" s="203"/>
      <c r="F115" s="203"/>
      <c r="G115" s="203"/>
      <c r="H115" s="203"/>
      <c r="I115" s="203"/>
      <c r="J115" s="203"/>
      <c r="K115" s="203"/>
      <c r="L115" s="203"/>
      <c r="M115" s="204"/>
      <c r="O115" s="83">
        <f t="shared" si="17"/>
        <v>0.12248096399742377</v>
      </c>
      <c r="P115" s="75" t="e">
        <f t="shared" si="15"/>
        <v>#N/A</v>
      </c>
      <c r="Q115" s="84" t="e">
        <f t="shared" si="18"/>
        <v>#N/A</v>
      </c>
      <c r="R115" s="313">
        <f t="shared" si="13"/>
      </c>
    </row>
    <row r="116" spans="1:18" ht="409.5">
      <c r="A116" s="293" t="s">
        <v>332</v>
      </c>
      <c r="B116" s="203"/>
      <c r="C116" s="206" t="e">
        <f>ROUND(C76,3)</f>
        <v>#VALUE!</v>
      </c>
      <c r="D116" s="206" t="e">
        <f>ROUND(D76,3)</f>
        <v>#VALUE!</v>
      </c>
      <c r="E116" s="206" t="e">
        <f>ROUND(E76,3)</f>
        <v>#VALUE!</v>
      </c>
      <c r="F116" s="206" t="e">
        <f>ROUND(F76,0)</f>
        <v>#VALUE!</v>
      </c>
      <c r="G116" s="206" t="e">
        <f>ROUND(G76,0)</f>
        <v>#VALUE!</v>
      </c>
      <c r="H116" s="206" t="e">
        <f>ROUND(H76,0)</f>
        <v>#VALUE!</v>
      </c>
      <c r="I116" s="206" t="e">
        <f>ROUND(I76,-3)</f>
        <v>#VALUE!</v>
      </c>
      <c r="J116" s="206" t="e">
        <f>ROUND(J76,-3)</f>
        <v>#VALUE!</v>
      </c>
      <c r="K116" s="203"/>
      <c r="L116" s="203"/>
      <c r="M116" s="204"/>
      <c r="O116" s="83">
        <f t="shared" si="17"/>
        <v>0.1469771567969085</v>
      </c>
      <c r="P116" s="75" t="e">
        <f t="shared" si="15"/>
        <v>#N/A</v>
      </c>
      <c r="Q116" s="84" t="e">
        <f t="shared" si="18"/>
        <v>#N/A</v>
      </c>
      <c r="R116" s="313">
        <f t="shared" si="13"/>
      </c>
    </row>
    <row r="117" spans="1:18" ht="409.5">
      <c r="A117" s="207" t="s">
        <v>231</v>
      </c>
      <c r="B117" s="208"/>
      <c r="C117" s="209" t="e">
        <f>VLOOKUP(C116,$C89:$J114,$C88)</f>
        <v>#VALUE!</v>
      </c>
      <c r="D117" s="209" t="e">
        <f aca="true" t="shared" si="19" ref="D117:J117">VLOOKUP(D116,$C89:$J114,$C88)</f>
        <v>#VALUE!</v>
      </c>
      <c r="E117" s="209" t="e">
        <f t="shared" si="19"/>
        <v>#VALUE!</v>
      </c>
      <c r="F117" s="209" t="e">
        <f t="shared" si="19"/>
        <v>#VALUE!</v>
      </c>
      <c r="G117" s="209" t="e">
        <f t="shared" si="19"/>
        <v>#VALUE!</v>
      </c>
      <c r="H117" s="209" t="e">
        <f>VLOOKUP(H116,$C89:$J114,$C88)</f>
        <v>#VALUE!</v>
      </c>
      <c r="I117" s="209" t="e">
        <f>VLOOKUP(I116,$C89:$J114,$C88)</f>
        <v>#VALUE!</v>
      </c>
      <c r="J117" s="209" t="e">
        <f t="shared" si="19"/>
        <v>#VALUE!</v>
      </c>
      <c r="K117" s="208"/>
      <c r="L117" s="208"/>
      <c r="M117" s="210"/>
      <c r="O117" s="83">
        <f aca="true" t="shared" si="20" ref="O117:O137">O116*1.2</f>
        <v>0.1763725881562902</v>
      </c>
      <c r="P117" s="75" t="e">
        <f t="shared" si="15"/>
        <v>#N/A</v>
      </c>
      <c r="Q117" s="84" t="e">
        <f t="shared" si="18"/>
        <v>#N/A</v>
      </c>
      <c r="R117" s="313">
        <f t="shared" si="13"/>
      </c>
    </row>
    <row r="118" spans="1:18" ht="409.5">
      <c r="A118" s="212" t="s">
        <v>233</v>
      </c>
      <c r="B118" s="212"/>
      <c r="C118" s="212">
        <f aca="true" t="shared" si="21" ref="C118:J118">IF(C76&lt;0.001,4,IF(C76&lt;0.01,3,IF(C76&lt;0.1,2,IF(C76&lt;1,1,IF(C76&lt;10,0,IF(C76&lt;100,-1,IF(C76&lt;1000,-2,IF(C76&lt;10000,-3,-4))))))))</f>
        <v>-4</v>
      </c>
      <c r="D118" s="212">
        <f t="shared" si="21"/>
        <v>-4</v>
      </c>
      <c r="E118" s="212">
        <f t="shared" si="21"/>
        <v>-4</v>
      </c>
      <c r="F118" s="212">
        <f t="shared" si="21"/>
        <v>-4</v>
      </c>
      <c r="G118" s="212">
        <f t="shared" si="21"/>
        <v>-4</v>
      </c>
      <c r="H118" s="212">
        <f t="shared" si="21"/>
        <v>-4</v>
      </c>
      <c r="I118" s="212">
        <f t="shared" si="21"/>
        <v>-4</v>
      </c>
      <c r="J118" s="212">
        <f t="shared" si="21"/>
        <v>-4</v>
      </c>
      <c r="K118" s="212"/>
      <c r="L118" s="212"/>
      <c r="M118" s="212" t="s">
        <v>234</v>
      </c>
      <c r="O118" s="83">
        <f t="shared" si="20"/>
        <v>0.21164710578754822</v>
      </c>
      <c r="P118" s="75" t="e">
        <f t="shared" si="15"/>
        <v>#N/A</v>
      </c>
      <c r="Q118" s="84" t="e">
        <f t="shared" si="18"/>
        <v>#N/A</v>
      </c>
      <c r="R118" s="313">
        <f t="shared" si="13"/>
      </c>
    </row>
    <row r="119" spans="1:18" ht="409.5">
      <c r="A119" s="12"/>
      <c r="O119" s="83">
        <f t="shared" si="20"/>
        <v>0.25397652694505785</v>
      </c>
      <c r="P119" s="75" t="e">
        <f t="shared" si="15"/>
        <v>#N/A</v>
      </c>
      <c r="Q119" s="84" t="e">
        <f t="shared" si="18"/>
        <v>#N/A</v>
      </c>
      <c r="R119" s="313">
        <f t="shared" si="13"/>
      </c>
    </row>
    <row r="120" spans="15:18" ht="409.5">
      <c r="O120" s="83">
        <f t="shared" si="20"/>
        <v>0.3047718323340694</v>
      </c>
      <c r="P120" s="75" t="e">
        <f t="shared" si="15"/>
        <v>#N/A</v>
      </c>
      <c r="Q120" s="84" t="e">
        <f t="shared" si="18"/>
        <v>#N/A</v>
      </c>
      <c r="R120" s="313">
        <f t="shared" si="13"/>
      </c>
    </row>
    <row r="121" spans="15:18" ht="409.5">
      <c r="O121" s="83">
        <f t="shared" si="20"/>
        <v>0.36572619880088325</v>
      </c>
      <c r="P121" s="75" t="e">
        <f t="shared" si="15"/>
        <v>#N/A</v>
      </c>
      <c r="Q121" s="84" t="e">
        <f t="shared" si="18"/>
        <v>#N/A</v>
      </c>
      <c r="R121" s="313">
        <f t="shared" si="13"/>
      </c>
    </row>
    <row r="122" spans="15:18" ht="409.5">
      <c r="O122" s="83">
        <f t="shared" si="20"/>
        <v>0.43887143856105987</v>
      </c>
      <c r="P122" s="75" t="e">
        <f t="shared" si="15"/>
        <v>#N/A</v>
      </c>
      <c r="Q122" s="84" t="e">
        <f t="shared" si="18"/>
        <v>#N/A</v>
      </c>
      <c r="R122" s="313">
        <f t="shared" si="13"/>
      </c>
    </row>
    <row r="123" spans="15:18" ht="409.5">
      <c r="O123" s="83">
        <f t="shared" si="20"/>
        <v>0.5266457262732718</v>
      </c>
      <c r="P123" s="75" t="e">
        <f t="shared" si="15"/>
        <v>#N/A</v>
      </c>
      <c r="Q123" s="84" t="e">
        <f t="shared" si="18"/>
        <v>#N/A</v>
      </c>
      <c r="R123" s="313">
        <f t="shared" si="13"/>
      </c>
    </row>
    <row r="124" spans="15:18" ht="409.5">
      <c r="O124" s="83">
        <f t="shared" si="20"/>
        <v>0.6319748715279261</v>
      </c>
      <c r="P124" s="75" t="e">
        <f t="shared" si="15"/>
        <v>#N/A</v>
      </c>
      <c r="Q124" s="84" t="e">
        <f t="shared" si="18"/>
        <v>#N/A</v>
      </c>
      <c r="R124" s="313">
        <f t="shared" si="13"/>
      </c>
    </row>
    <row r="125" spans="15:18" ht="409.5">
      <c r="O125" s="83">
        <f t="shared" si="20"/>
        <v>0.7583698458335113</v>
      </c>
      <c r="P125" s="75" t="e">
        <f t="shared" si="15"/>
        <v>#N/A</v>
      </c>
      <c r="Q125" s="84" t="e">
        <f t="shared" si="18"/>
        <v>#N/A</v>
      </c>
      <c r="R125" s="313">
        <f t="shared" si="13"/>
      </c>
    </row>
    <row r="126" spans="15:18" ht="409.5">
      <c r="O126" s="83">
        <f t="shared" si="20"/>
        <v>0.9100438150002135</v>
      </c>
      <c r="P126" s="75" t="e">
        <f t="shared" si="15"/>
        <v>#N/A</v>
      </c>
      <c r="Q126" s="84" t="e">
        <f t="shared" si="18"/>
        <v>#N/A</v>
      </c>
      <c r="R126" s="313">
        <f t="shared" si="13"/>
      </c>
    </row>
    <row r="127" spans="15:18" ht="409.5">
      <c r="O127" s="83">
        <f t="shared" si="20"/>
        <v>1.0920525780002561</v>
      </c>
      <c r="P127" s="75" t="e">
        <f t="shared" si="15"/>
        <v>#N/A</v>
      </c>
      <c r="Q127" s="84" t="e">
        <f t="shared" si="18"/>
        <v>#N/A</v>
      </c>
      <c r="R127" s="313">
        <f t="shared" si="13"/>
      </c>
    </row>
    <row r="128" spans="15:18" ht="409.5">
      <c r="O128" s="83">
        <f t="shared" si="20"/>
        <v>1.3104630936003072</v>
      </c>
      <c r="P128" s="75" t="e">
        <f t="shared" si="15"/>
        <v>#N/A</v>
      </c>
      <c r="Q128" s="84" t="e">
        <f t="shared" si="18"/>
        <v>#N/A</v>
      </c>
      <c r="R128" s="313">
        <f t="shared" si="13"/>
      </c>
    </row>
    <row r="129" spans="15:18" ht="409.5">
      <c r="O129" s="83">
        <f t="shared" si="20"/>
        <v>1.5725557123203686</v>
      </c>
      <c r="P129" s="75" t="e">
        <f t="shared" si="15"/>
        <v>#N/A</v>
      </c>
      <c r="Q129" s="84" t="e">
        <f t="shared" si="18"/>
        <v>#N/A</v>
      </c>
      <c r="R129" s="313">
        <f t="shared" si="13"/>
      </c>
    </row>
    <row r="130" spans="15:18" ht="409.5">
      <c r="O130" s="83">
        <f t="shared" si="20"/>
        <v>1.8870668547844422</v>
      </c>
      <c r="P130" s="75" t="e">
        <f t="shared" si="15"/>
        <v>#N/A</v>
      </c>
      <c r="Q130" s="84" t="e">
        <f t="shared" si="18"/>
        <v>#N/A</v>
      </c>
      <c r="R130" s="313">
        <f t="shared" si="13"/>
      </c>
    </row>
    <row r="131" spans="15:18" ht="409.5">
      <c r="O131" s="83">
        <f t="shared" si="20"/>
        <v>2.264480225741331</v>
      </c>
      <c r="P131" s="75" t="e">
        <f t="shared" si="15"/>
        <v>#N/A</v>
      </c>
      <c r="Q131" s="84" t="e">
        <f t="shared" si="18"/>
        <v>#N/A</v>
      </c>
      <c r="R131" s="313">
        <f t="shared" si="13"/>
      </c>
    </row>
    <row r="132" spans="15:18" ht="409.5">
      <c r="O132" s="83">
        <f t="shared" si="20"/>
        <v>2.7173762708895968</v>
      </c>
      <c r="P132" s="75" t="e">
        <f t="shared" si="15"/>
        <v>#N/A</v>
      </c>
      <c r="Q132" s="84" t="e">
        <f t="shared" si="18"/>
        <v>#N/A</v>
      </c>
      <c r="R132" s="313">
        <f t="shared" si="13"/>
      </c>
    </row>
    <row r="133" spans="15:18" ht="409.5">
      <c r="O133" s="83">
        <f t="shared" si="20"/>
        <v>3.260851525067516</v>
      </c>
      <c r="P133" s="75" t="e">
        <f t="shared" si="15"/>
        <v>#N/A</v>
      </c>
      <c r="Q133" s="84" t="e">
        <f t="shared" si="18"/>
        <v>#N/A</v>
      </c>
      <c r="R133" s="313">
        <f t="shared" si="13"/>
      </c>
    </row>
    <row r="134" spans="15:18" ht="409.5">
      <c r="O134" s="83">
        <f t="shared" si="20"/>
        <v>3.9130218300810187</v>
      </c>
      <c r="P134" s="75" t="e">
        <f t="shared" si="15"/>
        <v>#N/A</v>
      </c>
      <c r="Q134" s="84" t="e">
        <f t="shared" si="18"/>
        <v>#N/A</v>
      </c>
      <c r="R134" s="313">
        <f t="shared" si="13"/>
      </c>
    </row>
    <row r="135" spans="15:18" ht="409.5">
      <c r="O135" s="83">
        <f t="shared" si="20"/>
        <v>4.695626196097222</v>
      </c>
      <c r="P135" s="75" t="e">
        <f t="shared" si="15"/>
        <v>#N/A</v>
      </c>
      <c r="Q135" s="84" t="e">
        <f t="shared" si="18"/>
        <v>#N/A</v>
      </c>
      <c r="R135" s="313">
        <f t="shared" si="13"/>
      </c>
    </row>
    <row r="136" spans="15:18" ht="409.5">
      <c r="O136" s="83">
        <f t="shared" si="20"/>
        <v>5.634751435316666</v>
      </c>
      <c r="P136" s="75" t="e">
        <f t="shared" si="15"/>
        <v>#N/A</v>
      </c>
      <c r="Q136" s="84" t="e">
        <f t="shared" si="18"/>
        <v>#N/A</v>
      </c>
      <c r="R136" s="313">
        <f t="shared" si="13"/>
      </c>
    </row>
    <row r="137" spans="15:18" ht="409.5">
      <c r="O137" s="83">
        <f t="shared" si="20"/>
        <v>6.761701722379999</v>
      </c>
      <c r="P137" s="75" t="e">
        <f t="shared" si="15"/>
        <v>#N/A</v>
      </c>
      <c r="Q137" s="84" t="e">
        <f t="shared" si="18"/>
        <v>#N/A</v>
      </c>
      <c r="R137" s="313">
        <f t="shared" si="13"/>
      </c>
    </row>
    <row r="138" spans="15:18" ht="409.5">
      <c r="O138" s="83">
        <f aca="true" t="shared" si="22" ref="O138:O186">O137*1.2</f>
        <v>8.114042066855998</v>
      </c>
      <c r="P138" s="75" t="e">
        <f t="shared" si="15"/>
        <v>#N/A</v>
      </c>
      <c r="Q138" s="84" t="e">
        <f t="shared" si="18"/>
        <v>#N/A</v>
      </c>
      <c r="R138" s="313">
        <f t="shared" si="13"/>
      </c>
    </row>
    <row r="139" spans="15:18" ht="409.5">
      <c r="O139" s="83">
        <f t="shared" si="22"/>
        <v>9.736850480227197</v>
      </c>
      <c r="P139" s="75" t="e">
        <f t="shared" si="15"/>
        <v>#N/A</v>
      </c>
      <c r="Q139" s="84" t="e">
        <f t="shared" si="18"/>
        <v>#N/A</v>
      </c>
      <c r="R139" s="313">
        <f t="shared" si="13"/>
      </c>
    </row>
    <row r="140" spans="15:18" ht="409.5">
      <c r="O140" s="83">
        <f t="shared" si="22"/>
        <v>11.684220576272637</v>
      </c>
      <c r="P140" s="75" t="e">
        <f t="shared" si="15"/>
        <v>#N/A</v>
      </c>
      <c r="Q140" s="84" t="e">
        <f aca="true" t="shared" si="23" ref="Q140:Q171">IF(OR(ISBLANK(O140),O140-0.2*O140&gt;$D$12,ISERROR($C$47),ISTEXT(C$46),ISTEXT(C$47)),#N/A,($C$47*O140+$C$46)/O140*100)</f>
        <v>#N/A</v>
      </c>
      <c r="R140" s="313">
        <f t="shared" si="13"/>
      </c>
    </row>
    <row r="141" spans="15:18" ht="409.5">
      <c r="O141" s="83">
        <f t="shared" si="22"/>
        <v>14.021064691527164</v>
      </c>
      <c r="P141" s="75" t="e">
        <f t="shared" si="15"/>
        <v>#N/A</v>
      </c>
      <c r="Q141" s="84" t="e">
        <f t="shared" si="23"/>
        <v>#N/A</v>
      </c>
      <c r="R141" s="313">
        <f aca="true" t="shared" si="24" ref="R141:R189">IF(OR(ISERROR(Q141),ISERROR(Q142)),"",IF(OR(Q141&lt;0,Q141&lt;Q142),1,0))</f>
      </c>
    </row>
    <row r="142" spans="15:18" ht="409.5">
      <c r="O142" s="83">
        <f t="shared" si="22"/>
        <v>16.825277629832595</v>
      </c>
      <c r="P142" s="75" t="e">
        <f aca="true" t="shared" si="25" ref="P142:P190">IF(OR(ISBLANK(O142),O142-0.2*O142&gt;$D$12),#N/A,O142)</f>
        <v>#N/A</v>
      </c>
      <c r="Q142" s="84" t="e">
        <f t="shared" si="23"/>
        <v>#N/A</v>
      </c>
      <c r="R142" s="313">
        <f t="shared" si="24"/>
      </c>
    </row>
    <row r="143" spans="15:18" ht="409.5">
      <c r="O143" s="83">
        <f t="shared" si="22"/>
        <v>20.190333155799113</v>
      </c>
      <c r="P143" s="75" t="e">
        <f t="shared" si="25"/>
        <v>#N/A</v>
      </c>
      <c r="Q143" s="84" t="e">
        <f t="shared" si="23"/>
        <v>#N/A</v>
      </c>
      <c r="R143" s="313">
        <f t="shared" si="24"/>
      </c>
    </row>
    <row r="144" spans="15:18" ht="409.5">
      <c r="O144" s="83">
        <f t="shared" si="22"/>
        <v>24.228399786958935</v>
      </c>
      <c r="P144" s="75" t="e">
        <f t="shared" si="25"/>
        <v>#N/A</v>
      </c>
      <c r="Q144" s="84" t="e">
        <f t="shared" si="23"/>
        <v>#N/A</v>
      </c>
      <c r="R144" s="313">
        <f t="shared" si="24"/>
      </c>
    </row>
    <row r="145" spans="15:18" ht="409.5">
      <c r="O145" s="83">
        <f t="shared" si="22"/>
        <v>29.07407974435072</v>
      </c>
      <c r="P145" s="75" t="e">
        <f t="shared" si="25"/>
        <v>#N/A</v>
      </c>
      <c r="Q145" s="84" t="e">
        <f t="shared" si="23"/>
        <v>#N/A</v>
      </c>
      <c r="R145" s="313">
        <f t="shared" si="24"/>
      </c>
    </row>
    <row r="146" spans="15:18" ht="409.5">
      <c r="O146" s="83">
        <f t="shared" si="22"/>
        <v>34.88889569322086</v>
      </c>
      <c r="P146" s="75" t="e">
        <f t="shared" si="25"/>
        <v>#N/A</v>
      </c>
      <c r="Q146" s="84" t="e">
        <f t="shared" si="23"/>
        <v>#N/A</v>
      </c>
      <c r="R146" s="313">
        <f t="shared" si="24"/>
      </c>
    </row>
    <row r="147" spans="15:18" ht="409.5">
      <c r="O147" s="83">
        <f t="shared" si="22"/>
        <v>41.86667483186503</v>
      </c>
      <c r="P147" s="75" t="e">
        <f t="shared" si="25"/>
        <v>#N/A</v>
      </c>
      <c r="Q147" s="84" t="e">
        <f t="shared" si="23"/>
        <v>#N/A</v>
      </c>
      <c r="R147" s="313">
        <f t="shared" si="24"/>
      </c>
    </row>
    <row r="148" spans="15:18" ht="409.5">
      <c r="O148" s="83">
        <f t="shared" si="22"/>
        <v>50.24000979823804</v>
      </c>
      <c r="P148" s="75" t="e">
        <f t="shared" si="25"/>
        <v>#N/A</v>
      </c>
      <c r="Q148" s="84" t="e">
        <f t="shared" si="23"/>
        <v>#N/A</v>
      </c>
      <c r="R148" s="313">
        <f t="shared" si="24"/>
      </c>
    </row>
    <row r="149" spans="15:18" ht="409.5">
      <c r="O149" s="83">
        <f t="shared" si="22"/>
        <v>60.28801175788565</v>
      </c>
      <c r="P149" s="75" t="e">
        <f t="shared" si="25"/>
        <v>#N/A</v>
      </c>
      <c r="Q149" s="84" t="e">
        <f t="shared" si="23"/>
        <v>#N/A</v>
      </c>
      <c r="R149" s="313">
        <f t="shared" si="24"/>
      </c>
    </row>
    <row r="150" spans="15:18" ht="409.5">
      <c r="O150" s="83">
        <f t="shared" si="22"/>
        <v>72.34561410946277</v>
      </c>
      <c r="P150" s="75" t="e">
        <f t="shared" si="25"/>
        <v>#N/A</v>
      </c>
      <c r="Q150" s="84" t="e">
        <f t="shared" si="23"/>
        <v>#N/A</v>
      </c>
      <c r="R150" s="313">
        <f t="shared" si="24"/>
      </c>
    </row>
    <row r="151" spans="15:18" ht="409.5">
      <c r="O151" s="83">
        <f t="shared" si="22"/>
        <v>86.81473693135533</v>
      </c>
      <c r="P151" s="75" t="e">
        <f t="shared" si="25"/>
        <v>#N/A</v>
      </c>
      <c r="Q151" s="84" t="e">
        <f t="shared" si="23"/>
        <v>#N/A</v>
      </c>
      <c r="R151" s="313">
        <f t="shared" si="24"/>
      </c>
    </row>
    <row r="152" spans="15:18" ht="409.5">
      <c r="O152" s="83">
        <f t="shared" si="22"/>
        <v>104.17768431762639</v>
      </c>
      <c r="P152" s="75" t="e">
        <f t="shared" si="25"/>
        <v>#N/A</v>
      </c>
      <c r="Q152" s="84" t="e">
        <f t="shared" si="23"/>
        <v>#N/A</v>
      </c>
      <c r="R152" s="313">
        <f t="shared" si="24"/>
      </c>
    </row>
    <row r="153" spans="15:18" ht="409.5">
      <c r="O153" s="83">
        <f t="shared" si="22"/>
        <v>125.01322118115166</v>
      </c>
      <c r="P153" s="75" t="e">
        <f t="shared" si="25"/>
        <v>#N/A</v>
      </c>
      <c r="Q153" s="84" t="e">
        <f t="shared" si="23"/>
        <v>#N/A</v>
      </c>
      <c r="R153" s="313">
        <f t="shared" si="24"/>
      </c>
    </row>
    <row r="154" spans="15:18" ht="409.5">
      <c r="O154" s="83">
        <f t="shared" si="22"/>
        <v>150.015865417382</v>
      </c>
      <c r="P154" s="75" t="e">
        <f t="shared" si="25"/>
        <v>#N/A</v>
      </c>
      <c r="Q154" s="84" t="e">
        <f t="shared" si="23"/>
        <v>#N/A</v>
      </c>
      <c r="R154" s="313">
        <f t="shared" si="24"/>
      </c>
    </row>
    <row r="155" spans="15:18" ht="409.5">
      <c r="O155" s="83">
        <f t="shared" si="22"/>
        <v>180.0190385008584</v>
      </c>
      <c r="P155" s="75" t="e">
        <f t="shared" si="25"/>
        <v>#N/A</v>
      </c>
      <c r="Q155" s="84" t="e">
        <f t="shared" si="23"/>
        <v>#N/A</v>
      </c>
      <c r="R155" s="313">
        <f t="shared" si="24"/>
      </c>
    </row>
    <row r="156" spans="15:18" ht="409.5">
      <c r="O156" s="83">
        <f t="shared" si="22"/>
        <v>216.02284620103006</v>
      </c>
      <c r="P156" s="75" t="e">
        <f t="shared" si="25"/>
        <v>#N/A</v>
      </c>
      <c r="Q156" s="84" t="e">
        <f t="shared" si="23"/>
        <v>#N/A</v>
      </c>
      <c r="R156" s="313">
        <f t="shared" si="24"/>
      </c>
    </row>
    <row r="157" spans="15:18" ht="409.5">
      <c r="O157" s="83">
        <f t="shared" si="22"/>
        <v>259.2274154412361</v>
      </c>
      <c r="P157" s="75" t="e">
        <f t="shared" si="25"/>
        <v>#N/A</v>
      </c>
      <c r="Q157" s="84" t="e">
        <f t="shared" si="23"/>
        <v>#N/A</v>
      </c>
      <c r="R157" s="313">
        <f t="shared" si="24"/>
      </c>
    </row>
    <row r="158" spans="15:18" ht="409.5">
      <c r="O158" s="83">
        <f t="shared" si="22"/>
        <v>311.07289852948327</v>
      </c>
      <c r="P158" s="75" t="e">
        <f t="shared" si="25"/>
        <v>#N/A</v>
      </c>
      <c r="Q158" s="84" t="e">
        <f t="shared" si="23"/>
        <v>#N/A</v>
      </c>
      <c r="R158" s="313">
        <f t="shared" si="24"/>
      </c>
    </row>
    <row r="159" spans="15:18" ht="409.5">
      <c r="O159" s="83">
        <f t="shared" si="22"/>
        <v>373.2874782353799</v>
      </c>
      <c r="P159" s="75" t="e">
        <f t="shared" si="25"/>
        <v>#N/A</v>
      </c>
      <c r="Q159" s="84" t="e">
        <f t="shared" si="23"/>
        <v>#N/A</v>
      </c>
      <c r="R159" s="313">
        <f t="shared" si="24"/>
      </c>
    </row>
    <row r="160" spans="15:18" ht="409.5">
      <c r="O160" s="83">
        <f t="shared" si="22"/>
        <v>447.9449738824559</v>
      </c>
      <c r="P160" s="75" t="e">
        <f t="shared" si="25"/>
        <v>#N/A</v>
      </c>
      <c r="Q160" s="84" t="e">
        <f t="shared" si="23"/>
        <v>#N/A</v>
      </c>
      <c r="R160" s="313">
        <f t="shared" si="24"/>
      </c>
    </row>
    <row r="161" spans="15:18" ht="409.5">
      <c r="O161" s="83">
        <f t="shared" si="22"/>
        <v>537.5339686589471</v>
      </c>
      <c r="P161" s="75" t="e">
        <f t="shared" si="25"/>
        <v>#N/A</v>
      </c>
      <c r="Q161" s="84" t="e">
        <f t="shared" si="23"/>
        <v>#N/A</v>
      </c>
      <c r="R161" s="313">
        <f t="shared" si="24"/>
      </c>
    </row>
    <row r="162" spans="15:18" ht="409.5">
      <c r="O162" s="83">
        <f t="shared" si="22"/>
        <v>645.0407623907364</v>
      </c>
      <c r="P162" s="75" t="e">
        <f t="shared" si="25"/>
        <v>#N/A</v>
      </c>
      <c r="Q162" s="84" t="e">
        <f t="shared" si="23"/>
        <v>#N/A</v>
      </c>
      <c r="R162" s="313">
        <f t="shared" si="24"/>
      </c>
    </row>
    <row r="163" spans="15:18" ht="409.5">
      <c r="O163" s="83">
        <f t="shared" si="22"/>
        <v>774.0489148688837</v>
      </c>
      <c r="P163" s="75" t="e">
        <f t="shared" si="25"/>
        <v>#N/A</v>
      </c>
      <c r="Q163" s="84" t="e">
        <f t="shared" si="23"/>
        <v>#N/A</v>
      </c>
      <c r="R163" s="313">
        <f t="shared" si="24"/>
      </c>
    </row>
    <row r="164" spans="15:18" ht="409.5">
      <c r="O164" s="83">
        <f t="shared" si="22"/>
        <v>928.8586978426604</v>
      </c>
      <c r="P164" s="75" t="e">
        <f t="shared" si="25"/>
        <v>#N/A</v>
      </c>
      <c r="Q164" s="84" t="e">
        <f t="shared" si="23"/>
        <v>#N/A</v>
      </c>
      <c r="R164" s="313">
        <f t="shared" si="24"/>
      </c>
    </row>
    <row r="165" spans="15:18" ht="409.5">
      <c r="O165" s="83">
        <f t="shared" si="22"/>
        <v>1114.6304374111924</v>
      </c>
      <c r="P165" s="75" t="e">
        <f t="shared" si="25"/>
        <v>#N/A</v>
      </c>
      <c r="Q165" s="84" t="e">
        <f t="shared" si="23"/>
        <v>#N/A</v>
      </c>
      <c r="R165" s="313">
        <f t="shared" si="24"/>
      </c>
    </row>
    <row r="166" spans="15:18" ht="409.5">
      <c r="O166" s="83">
        <f t="shared" si="22"/>
        <v>1337.5565248934308</v>
      </c>
      <c r="P166" s="75" t="e">
        <f t="shared" si="25"/>
        <v>#N/A</v>
      </c>
      <c r="Q166" s="84" t="e">
        <f t="shared" si="23"/>
        <v>#N/A</v>
      </c>
      <c r="R166" s="313">
        <f t="shared" si="24"/>
      </c>
    </row>
    <row r="167" spans="15:18" ht="409.5">
      <c r="O167" s="83">
        <f t="shared" si="22"/>
        <v>1605.067829872117</v>
      </c>
      <c r="P167" s="75" t="e">
        <f t="shared" si="25"/>
        <v>#N/A</v>
      </c>
      <c r="Q167" s="84" t="e">
        <f t="shared" si="23"/>
        <v>#N/A</v>
      </c>
      <c r="R167" s="313">
        <f t="shared" si="24"/>
      </c>
    </row>
    <row r="168" spans="15:18" ht="409.5">
      <c r="O168" s="83">
        <f t="shared" si="22"/>
        <v>1926.0813958465403</v>
      </c>
      <c r="P168" s="75" t="e">
        <f t="shared" si="25"/>
        <v>#N/A</v>
      </c>
      <c r="Q168" s="84" t="e">
        <f t="shared" si="23"/>
        <v>#N/A</v>
      </c>
      <c r="R168" s="313">
        <f t="shared" si="24"/>
      </c>
    </row>
    <row r="169" spans="15:18" ht="409.5">
      <c r="O169" s="83">
        <f t="shared" si="22"/>
        <v>2311.297675015848</v>
      </c>
      <c r="P169" s="75" t="e">
        <f t="shared" si="25"/>
        <v>#N/A</v>
      </c>
      <c r="Q169" s="84" t="e">
        <f t="shared" si="23"/>
        <v>#N/A</v>
      </c>
      <c r="R169" s="313">
        <f t="shared" si="24"/>
      </c>
    </row>
    <row r="170" spans="15:18" ht="409.5">
      <c r="O170" s="83">
        <f t="shared" si="22"/>
        <v>2773.557210019018</v>
      </c>
      <c r="P170" s="75" t="e">
        <f t="shared" si="25"/>
        <v>#N/A</v>
      </c>
      <c r="Q170" s="84" t="e">
        <f t="shared" si="23"/>
        <v>#N/A</v>
      </c>
      <c r="R170" s="313">
        <f t="shared" si="24"/>
      </c>
    </row>
    <row r="171" spans="15:18" ht="409.5">
      <c r="O171" s="83">
        <f t="shared" si="22"/>
        <v>3328.2686520228212</v>
      </c>
      <c r="P171" s="75" t="e">
        <f t="shared" si="25"/>
        <v>#N/A</v>
      </c>
      <c r="Q171" s="84" t="e">
        <f t="shared" si="23"/>
        <v>#N/A</v>
      </c>
      <c r="R171" s="313">
        <f t="shared" si="24"/>
      </c>
    </row>
    <row r="172" spans="15:18" ht="409.5">
      <c r="O172" s="83">
        <f t="shared" si="22"/>
        <v>3993.9223824273854</v>
      </c>
      <c r="P172" s="75" t="e">
        <f t="shared" si="25"/>
        <v>#N/A</v>
      </c>
      <c r="Q172" s="84" t="e">
        <f aca="true" t="shared" si="26" ref="Q172:Q190">IF(OR(ISBLANK(O172),O172-0.2*O172&gt;$D$12,ISERROR($C$47),ISTEXT(C$46),ISTEXT(C$47)),#N/A,($C$47*O172+$C$46)/O172*100)</f>
        <v>#N/A</v>
      </c>
      <c r="R172" s="313">
        <f t="shared" si="24"/>
      </c>
    </row>
    <row r="173" spans="15:18" ht="409.5">
      <c r="O173" s="83">
        <f t="shared" si="22"/>
        <v>4792.706858912862</v>
      </c>
      <c r="P173" s="75" t="e">
        <f t="shared" si="25"/>
        <v>#N/A</v>
      </c>
      <c r="Q173" s="84" t="e">
        <f t="shared" si="26"/>
        <v>#N/A</v>
      </c>
      <c r="R173" s="313">
        <f t="shared" si="24"/>
      </c>
    </row>
    <row r="174" spans="15:18" ht="409.5">
      <c r="O174" s="83">
        <f t="shared" si="22"/>
        <v>5751.248230695434</v>
      </c>
      <c r="P174" s="75" t="e">
        <f t="shared" si="25"/>
        <v>#N/A</v>
      </c>
      <c r="Q174" s="84" t="e">
        <f t="shared" si="26"/>
        <v>#N/A</v>
      </c>
      <c r="R174" s="313">
        <f t="shared" si="24"/>
      </c>
    </row>
    <row r="175" spans="15:18" ht="409.5">
      <c r="O175" s="83">
        <f t="shared" si="22"/>
        <v>6901.497876834521</v>
      </c>
      <c r="P175" s="75" t="e">
        <f t="shared" si="25"/>
        <v>#N/A</v>
      </c>
      <c r="Q175" s="84" t="e">
        <f t="shared" si="26"/>
        <v>#N/A</v>
      </c>
      <c r="R175" s="313">
        <f t="shared" si="24"/>
      </c>
    </row>
    <row r="176" spans="15:18" ht="409.5">
      <c r="O176" s="83">
        <f t="shared" si="22"/>
        <v>8281.797452201425</v>
      </c>
      <c r="P176" s="75" t="e">
        <f t="shared" si="25"/>
        <v>#N/A</v>
      </c>
      <c r="Q176" s="84" t="e">
        <f t="shared" si="26"/>
        <v>#N/A</v>
      </c>
      <c r="R176" s="313">
        <f t="shared" si="24"/>
      </c>
    </row>
    <row r="177" spans="15:18" ht="409.5">
      <c r="O177" s="83">
        <f t="shared" si="22"/>
        <v>9938.15694264171</v>
      </c>
      <c r="P177" s="75" t="e">
        <f t="shared" si="25"/>
        <v>#N/A</v>
      </c>
      <c r="Q177" s="84" t="e">
        <f t="shared" si="26"/>
        <v>#N/A</v>
      </c>
      <c r="R177" s="313">
        <f t="shared" si="24"/>
      </c>
    </row>
    <row r="178" spans="15:18" ht="409.5">
      <c r="O178" s="83">
        <f t="shared" si="22"/>
        <v>11925.788331170052</v>
      </c>
      <c r="P178" s="75" t="e">
        <f t="shared" si="25"/>
        <v>#N/A</v>
      </c>
      <c r="Q178" s="84" t="e">
        <f t="shared" si="26"/>
        <v>#N/A</v>
      </c>
      <c r="R178" s="313">
        <f t="shared" si="24"/>
      </c>
    </row>
    <row r="179" spans="15:18" ht="409.5">
      <c r="O179" s="83">
        <f t="shared" si="22"/>
        <v>14310.945997404062</v>
      </c>
      <c r="P179" s="75" t="e">
        <f t="shared" si="25"/>
        <v>#N/A</v>
      </c>
      <c r="Q179" s="84" t="e">
        <f t="shared" si="26"/>
        <v>#N/A</v>
      </c>
      <c r="R179" s="313">
        <f t="shared" si="24"/>
      </c>
    </row>
    <row r="180" spans="15:18" ht="409.5">
      <c r="O180" s="83">
        <f t="shared" si="22"/>
        <v>17173.135196884872</v>
      </c>
      <c r="P180" s="75" t="e">
        <f t="shared" si="25"/>
        <v>#N/A</v>
      </c>
      <c r="Q180" s="84" t="e">
        <f t="shared" si="26"/>
        <v>#N/A</v>
      </c>
      <c r="R180" s="313">
        <f t="shared" si="24"/>
      </c>
    </row>
    <row r="181" spans="15:18" ht="409.5">
      <c r="O181" s="83">
        <f t="shared" si="22"/>
        <v>20607.762236261846</v>
      </c>
      <c r="P181" s="75" t="e">
        <f t="shared" si="25"/>
        <v>#N/A</v>
      </c>
      <c r="Q181" s="84" t="e">
        <f t="shared" si="26"/>
        <v>#N/A</v>
      </c>
      <c r="R181" s="313">
        <f t="shared" si="24"/>
      </c>
    </row>
    <row r="182" spans="15:18" ht="409.5">
      <c r="O182" s="83">
        <f t="shared" si="22"/>
        <v>24729.314683514214</v>
      </c>
      <c r="P182" s="75" t="e">
        <f t="shared" si="25"/>
        <v>#N/A</v>
      </c>
      <c r="Q182" s="84" t="e">
        <f t="shared" si="26"/>
        <v>#N/A</v>
      </c>
      <c r="R182" s="313">
        <f t="shared" si="24"/>
      </c>
    </row>
    <row r="183" spans="15:18" ht="409.5">
      <c r="O183" s="83">
        <f t="shared" si="22"/>
        <v>29675.177620217055</v>
      </c>
      <c r="P183" s="75" t="e">
        <f t="shared" si="25"/>
        <v>#N/A</v>
      </c>
      <c r="Q183" s="84" t="e">
        <f t="shared" si="26"/>
        <v>#N/A</v>
      </c>
      <c r="R183" s="313">
        <f t="shared" si="24"/>
      </c>
    </row>
    <row r="184" spans="15:18" ht="409.5">
      <c r="O184" s="83">
        <f t="shared" si="22"/>
        <v>35610.213144260466</v>
      </c>
      <c r="P184" s="75" t="e">
        <f t="shared" si="25"/>
        <v>#N/A</v>
      </c>
      <c r="Q184" s="84" t="e">
        <f t="shared" si="26"/>
        <v>#N/A</v>
      </c>
      <c r="R184" s="313">
        <f t="shared" si="24"/>
      </c>
    </row>
    <row r="185" spans="15:18" ht="409.5">
      <c r="O185" s="83">
        <f t="shared" si="22"/>
        <v>42732.255773112556</v>
      </c>
      <c r="P185" s="75" t="e">
        <f t="shared" si="25"/>
        <v>#N/A</v>
      </c>
      <c r="Q185" s="84" t="e">
        <f t="shared" si="26"/>
        <v>#N/A</v>
      </c>
      <c r="R185" s="313">
        <f t="shared" si="24"/>
      </c>
    </row>
    <row r="186" spans="15:18" ht="409.5">
      <c r="O186" s="83">
        <f t="shared" si="22"/>
        <v>51278.70692773507</v>
      </c>
      <c r="P186" s="75" t="e">
        <f t="shared" si="25"/>
        <v>#N/A</v>
      </c>
      <c r="Q186" s="84" t="e">
        <f t="shared" si="26"/>
        <v>#N/A</v>
      </c>
      <c r="R186" s="313">
        <f t="shared" si="24"/>
      </c>
    </row>
    <row r="187" spans="15:18" ht="409.5">
      <c r="O187" s="83">
        <f>O186*1.2</f>
        <v>61534.448313282075</v>
      </c>
      <c r="P187" s="75" t="e">
        <f t="shared" si="25"/>
        <v>#N/A</v>
      </c>
      <c r="Q187" s="84" t="e">
        <f t="shared" si="26"/>
        <v>#N/A</v>
      </c>
      <c r="R187" s="313">
        <f t="shared" si="24"/>
      </c>
    </row>
    <row r="188" spans="15:18" ht="409.5">
      <c r="O188" s="83">
        <f>O187*1.2</f>
        <v>73841.33797593848</v>
      </c>
      <c r="P188" s="75" t="e">
        <f t="shared" si="25"/>
        <v>#N/A</v>
      </c>
      <c r="Q188" s="84" t="e">
        <f t="shared" si="26"/>
        <v>#N/A</v>
      </c>
      <c r="R188" s="313">
        <f t="shared" si="24"/>
      </c>
    </row>
    <row r="189" spans="15:18" ht="409.5">
      <c r="O189" s="83">
        <f>O188*1.2</f>
        <v>88609.60557112617</v>
      </c>
      <c r="P189" s="75" t="e">
        <f t="shared" si="25"/>
        <v>#N/A</v>
      </c>
      <c r="Q189" s="84" t="e">
        <f t="shared" si="26"/>
        <v>#N/A</v>
      </c>
      <c r="R189" s="313">
        <f t="shared" si="24"/>
      </c>
    </row>
    <row r="190" spans="15:18" ht="409.5">
      <c r="O190" s="104">
        <f>O189*1.2</f>
        <v>106331.5266853514</v>
      </c>
      <c r="P190" s="105" t="e">
        <f t="shared" si="25"/>
        <v>#N/A</v>
      </c>
      <c r="Q190" s="106" t="e">
        <f t="shared" si="26"/>
        <v>#N/A</v>
      </c>
      <c r="R190" s="313" t="s">
        <v>229</v>
      </c>
    </row>
    <row r="191" spans="17:18" ht="409.5">
      <c r="Q191" s="318" t="s">
        <v>384</v>
      </c>
      <c r="R191" s="313">
        <f>SUM(R76:R190)</f>
        <v>0</v>
      </c>
    </row>
  </sheetData>
  <sheetProtection sheet="1" objects="1" scenarios="1" selectLockedCells="1"/>
  <mergeCells count="16">
    <mergeCell ref="I7:J7"/>
    <mergeCell ref="F13:J13"/>
    <mergeCell ref="N22:S22"/>
    <mergeCell ref="J47:J49"/>
    <mergeCell ref="N23:S23"/>
    <mergeCell ref="N24:S24"/>
    <mergeCell ref="D46:D47"/>
    <mergeCell ref="B6:D6"/>
    <mergeCell ref="B10:D10"/>
    <mergeCell ref="B11:D11"/>
    <mergeCell ref="E50:I51"/>
    <mergeCell ref="I8:J8"/>
    <mergeCell ref="H12:J12"/>
    <mergeCell ref="I9:J9"/>
    <mergeCell ref="I10:J10"/>
    <mergeCell ref="I11:J11"/>
  </mergeCells>
  <conditionalFormatting sqref="C46:G46 I45:J47 C47 G36 F36:F37 A48 C45:H45 E47:G48 F49:G49">
    <cfRule type="cellIs" priority="18" dxfId="16" operator="equal">
      <formula>"?"</formula>
    </cfRule>
  </conditionalFormatting>
  <conditionalFormatting sqref="E50:I51">
    <cfRule type="cellIs" priority="16" dxfId="17" operator="notEqual">
      <formula>""</formula>
    </cfRule>
  </conditionalFormatting>
  <conditionalFormatting sqref="N22:S22">
    <cfRule type="cellIs" priority="9" dxfId="18" operator="notEqual">
      <formula>" "</formula>
    </cfRule>
  </conditionalFormatting>
  <conditionalFormatting sqref="N23:S23">
    <cfRule type="cellIs" priority="8" dxfId="18" operator="notEqual">
      <formula>" "</formula>
    </cfRule>
  </conditionalFormatting>
  <conditionalFormatting sqref="N24:S24">
    <cfRule type="cellIs" priority="7" dxfId="18" operator="notEqual">
      <formula>" "</formula>
    </cfRule>
  </conditionalFormatting>
  <conditionalFormatting sqref="O13">
    <cfRule type="cellIs" priority="5" dxfId="4" operator="notBetween">
      <formula>-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ormula>
      <formula>1E+299</formula>
    </cfRule>
  </conditionalFormatting>
  <conditionalFormatting sqref="C30:J32">
    <cfRule type="expression" priority="4" dxfId="3">
      <formula>$O$13&gt;9E+307</formula>
    </cfRule>
  </conditionalFormatting>
  <conditionalFormatting sqref="C18:J18">
    <cfRule type="cellIs" priority="2" dxfId="2" operator="equal">
      <formula>"Prüflast ?"</formula>
    </cfRule>
  </conditionalFormatting>
  <conditionalFormatting sqref="C35:J35">
    <cfRule type="cellIs" priority="27" dxfId="19" operator="equal" stopIfTrue="1">
      <formula>"ja"</formula>
    </cfRule>
  </conditionalFormatting>
  <printOptions/>
  <pageMargins left="0.5905511811023623" right="0" top="0.5905511811023623" bottom="0.3937007874015748" header="0.1968503937007874" footer="0.31496062992125984"/>
  <pageSetup fitToHeight="1" fitToWidth="1" horizontalDpi="600" verticalDpi="600" orientation="portrait" paperSize="9" scale="85" r:id="rId5"/>
  <headerFooter>
    <oddHeader>&amp;L&amp;G&amp;RQMR-505-2</oddHeader>
  </headerFooter>
  <rowBreaks count="1" manualBreakCount="1">
    <brk id="72" max="9" man="1"/>
  </rowBreaks>
  <drawing r:id="rId3"/>
  <legacyDrawing r:id="rId2"/>
  <legacyDrawingHF r:id="rId4"/>
</worksheet>
</file>

<file path=xl/worksheets/sheet5.xml><?xml version="1.0" encoding="utf-8"?>
<worksheet xmlns="http://schemas.openxmlformats.org/spreadsheetml/2006/main" xmlns:r="http://schemas.openxmlformats.org/officeDocument/2006/relationships">
  <sheetPr codeName="Tabelle8">
    <tabColor indexed="44"/>
  </sheetPr>
  <dimension ref="A1:Q4"/>
  <sheetViews>
    <sheetView zoomScalePageLayoutView="0" workbookViewId="0" topLeftCell="A1">
      <selection activeCell="F1" sqref="F1"/>
    </sheetView>
  </sheetViews>
  <sheetFormatPr defaultColWidth="11.57421875" defaultRowHeight="12.75"/>
  <cols>
    <col min="1" max="16384" width="11.57421875" style="195" customWidth="1"/>
  </cols>
  <sheetData>
    <row r="1" spans="1:17" ht="15.75">
      <c r="A1" s="194" t="s">
        <v>224</v>
      </c>
      <c r="Q1" s="195">
        <f>IF(ISERROR(CORREL(Waagenprüfung!C33:J33,Waagenprüfung!C76:J76)),"","r (x,y) = "&amp;FIXED(CORREL(Waagenprüfung!C33:J33,Waagenprüfung!C76:J76),4))</f>
      </c>
    </row>
    <row r="3" spans="1:10" ht="12.75">
      <c r="A3" s="195" t="str">
        <f>Waagenprüfung!A19</f>
        <v>Prüflast L</v>
      </c>
      <c r="B3" s="195" t="str">
        <f>Waagenprüfung!B19</f>
        <v>g</v>
      </c>
      <c r="C3" s="195" t="e">
        <f>IF(Waagenprüfung!C76="",NA(),Waagenprüfung!C76)</f>
        <v>#N/A</v>
      </c>
      <c r="D3" s="195" t="e">
        <f>IF(Waagenprüfung!D76="",NA(),Waagenprüfung!D76)</f>
        <v>#N/A</v>
      </c>
      <c r="E3" s="195" t="e">
        <f>IF(Waagenprüfung!E76="",NA(),Waagenprüfung!E76)</f>
        <v>#N/A</v>
      </c>
      <c r="F3" s="195" t="e">
        <f>IF(Waagenprüfung!F76="",NA(),Waagenprüfung!F76)</f>
        <v>#N/A</v>
      </c>
      <c r="G3" s="195" t="e">
        <f>IF(Waagenprüfung!G76="",NA(),Waagenprüfung!G76)</f>
        <v>#N/A</v>
      </c>
      <c r="H3" s="195" t="e">
        <f>IF(Waagenprüfung!H76="",NA(),Waagenprüfung!H76)</f>
        <v>#N/A</v>
      </c>
      <c r="I3" s="195" t="e">
        <f>IF(Waagenprüfung!I76="",NA(),Waagenprüfung!I76)</f>
        <v>#N/A</v>
      </c>
      <c r="J3" s="195" t="e">
        <f>IF(Waagenprüfung!J76="",NA(),Waagenprüfung!J76)</f>
        <v>#N/A</v>
      </c>
    </row>
    <row r="4" spans="1:10" ht="12.75">
      <c r="A4" s="195" t="str">
        <f>Waagenprüfung!A33</f>
        <v>Uabs (k=2)</v>
      </c>
      <c r="B4" s="195" t="str">
        <f>Waagenprüfung!B33</f>
        <v>± mg</v>
      </c>
      <c r="C4" s="195" t="e">
        <f>IF(Waagenprüfung!C33="",NA(),Waagenprüfung!C33)</f>
        <v>#N/A</v>
      </c>
      <c r="D4" s="195" t="e">
        <f>IF(Waagenprüfung!D33="",NA(),Waagenprüfung!D33)</f>
        <v>#N/A</v>
      </c>
      <c r="E4" s="195" t="e">
        <f>IF(Waagenprüfung!E33="",NA(),Waagenprüfung!E33)</f>
        <v>#N/A</v>
      </c>
      <c r="F4" s="195" t="e">
        <f>IF(Waagenprüfung!F33="",NA(),Waagenprüfung!F33)</f>
        <v>#N/A</v>
      </c>
      <c r="G4" s="195" t="e">
        <f>IF(Waagenprüfung!G33="",NA(),Waagenprüfung!G33)</f>
        <v>#N/A</v>
      </c>
      <c r="H4" s="195" t="e">
        <f>IF(Waagenprüfung!H33="",NA(),Waagenprüfung!H33)</f>
        <v>#N/A</v>
      </c>
      <c r="I4" s="195" t="e">
        <f>IF(Waagenprüfung!I33="",NA(),Waagenprüfung!I33)</f>
        <v>#N/A</v>
      </c>
      <c r="J4" s="195" t="e">
        <f>IF(Waagenprüfung!J33="",NA(),Waagenprüfung!J33)</f>
        <v>#N/A</v>
      </c>
    </row>
  </sheetData>
  <sheetProtection password="CC86" sheet="1" objects="1" scenarios="1"/>
  <printOptions/>
  <pageMargins left="0.787401575" right="0.787401575" top="0.984251969" bottom="0.984251969"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51"/>
  </sheetPr>
  <dimension ref="A1:H46"/>
  <sheetViews>
    <sheetView zoomScalePageLayoutView="0" workbookViewId="0" topLeftCell="A1">
      <selection activeCell="K25" sqref="K25"/>
    </sheetView>
  </sheetViews>
  <sheetFormatPr defaultColWidth="11.421875" defaultRowHeight="12.75"/>
  <cols>
    <col min="1" max="1" width="21.7109375" style="379" customWidth="1"/>
    <col min="2" max="2" width="11.421875" style="379" customWidth="1"/>
    <col min="3" max="3" width="5.7109375" style="379" customWidth="1"/>
    <col min="4" max="5" width="3.7109375" style="379" customWidth="1"/>
    <col min="6" max="6" width="21.7109375" style="379" customWidth="1"/>
    <col min="7" max="7" width="11.421875" style="379" customWidth="1"/>
    <col min="8" max="8" width="5.7109375" style="379" customWidth="1"/>
    <col min="9" max="16384" width="11.421875" style="379" customWidth="1"/>
  </cols>
  <sheetData>
    <row r="1" spans="1:8" ht="15">
      <c r="A1" s="377" t="s">
        <v>448</v>
      </c>
      <c r="B1" s="378"/>
      <c r="C1" s="378"/>
      <c r="D1" s="378"/>
      <c r="E1" s="378"/>
      <c r="F1" s="377"/>
      <c r="G1" s="378"/>
      <c r="H1" s="378"/>
    </row>
    <row r="2" ht="14.25">
      <c r="D2" s="380"/>
    </row>
    <row r="3" spans="1:8" ht="18" customHeight="1">
      <c r="A3" s="379" t="s">
        <v>443</v>
      </c>
      <c r="B3" s="381"/>
      <c r="C3" s="382"/>
      <c r="D3" s="380"/>
      <c r="F3" s="379" t="s">
        <v>443</v>
      </c>
      <c r="G3" s="381"/>
      <c r="H3" s="382"/>
    </row>
    <row r="4" spans="1:8" ht="18" customHeight="1">
      <c r="A4" s="379" t="s">
        <v>444</v>
      </c>
      <c r="B4" s="381"/>
      <c r="C4" s="382"/>
      <c r="D4" s="380"/>
      <c r="F4" s="379" t="s">
        <v>444</v>
      </c>
      <c r="G4" s="381"/>
      <c r="H4" s="382"/>
    </row>
    <row r="5" spans="1:8" ht="18" customHeight="1">
      <c r="A5" s="379" t="s">
        <v>445</v>
      </c>
      <c r="B5" s="381"/>
      <c r="C5" s="382"/>
      <c r="D5" s="380"/>
      <c r="F5" s="379" t="s">
        <v>445</v>
      </c>
      <c r="G5" s="381"/>
      <c r="H5" s="382"/>
    </row>
    <row r="6" ht="14.25">
      <c r="D6" s="380"/>
    </row>
    <row r="7" spans="1:8" ht="18" customHeight="1">
      <c r="A7" s="379" t="s">
        <v>416</v>
      </c>
      <c r="B7" s="383"/>
      <c r="C7" s="379" t="s">
        <v>4</v>
      </c>
      <c r="D7" s="380"/>
      <c r="F7" s="379" t="s">
        <v>416</v>
      </c>
      <c r="G7" s="383"/>
      <c r="H7" s="379" t="s">
        <v>4</v>
      </c>
    </row>
    <row r="8" spans="1:8" ht="18" customHeight="1">
      <c r="A8" s="379" t="s">
        <v>418</v>
      </c>
      <c r="B8" s="383"/>
      <c r="C8" s="379" t="s">
        <v>4</v>
      </c>
      <c r="D8" s="380"/>
      <c r="F8" s="379" t="s">
        <v>418</v>
      </c>
      <c r="G8" s="383"/>
      <c r="H8" s="379" t="s">
        <v>4</v>
      </c>
    </row>
    <row r="9" spans="1:8" ht="18" customHeight="1">
      <c r="A9" s="379" t="s">
        <v>421</v>
      </c>
      <c r="B9" s="383"/>
      <c r="C9" s="379" t="s">
        <v>4</v>
      </c>
      <c r="D9" s="380"/>
      <c r="F9" s="379" t="s">
        <v>421</v>
      </c>
      <c r="G9" s="383"/>
      <c r="H9" s="379" t="s">
        <v>4</v>
      </c>
    </row>
    <row r="10" spans="1:8" ht="18" customHeight="1">
      <c r="A10" s="379" t="s">
        <v>424</v>
      </c>
      <c r="B10" s="383"/>
      <c r="C10" s="379" t="s">
        <v>4</v>
      </c>
      <c r="D10" s="380"/>
      <c r="F10" s="379" t="s">
        <v>424</v>
      </c>
      <c r="G10" s="383"/>
      <c r="H10" s="379" t="s">
        <v>4</v>
      </c>
    </row>
    <row r="11" spans="1:8" ht="18" customHeight="1">
      <c r="A11" s="379" t="s">
        <v>425</v>
      </c>
      <c r="B11" s="383"/>
      <c r="C11" s="379" t="s">
        <v>4</v>
      </c>
      <c r="D11" s="380"/>
      <c r="F11" s="379" t="s">
        <v>425</v>
      </c>
      <c r="G11" s="383"/>
      <c r="H11" s="379" t="s">
        <v>4</v>
      </c>
    </row>
    <row r="12" spans="1:8" ht="18" customHeight="1">
      <c r="A12" s="379" t="s">
        <v>427</v>
      </c>
      <c r="B12" s="383"/>
      <c r="C12" s="379" t="s">
        <v>4</v>
      </c>
      <c r="D12" s="380"/>
      <c r="F12" s="379" t="s">
        <v>427</v>
      </c>
      <c r="G12" s="383"/>
      <c r="H12" s="379" t="s">
        <v>4</v>
      </c>
    </row>
    <row r="13" spans="1:8" ht="18" customHeight="1">
      <c r="A13" s="379" t="s">
        <v>429</v>
      </c>
      <c r="B13" s="383"/>
      <c r="C13" s="379" t="s">
        <v>4</v>
      </c>
      <c r="D13" s="380"/>
      <c r="F13" s="379" t="s">
        <v>429</v>
      </c>
      <c r="G13" s="383"/>
      <c r="H13" s="379" t="s">
        <v>4</v>
      </c>
    </row>
    <row r="14" spans="1:8" ht="18" customHeight="1">
      <c r="A14" s="379" t="s">
        <v>432</v>
      </c>
      <c r="B14" s="383"/>
      <c r="C14" s="379" t="s">
        <v>4</v>
      </c>
      <c r="D14" s="380"/>
      <c r="F14" s="379" t="s">
        <v>432</v>
      </c>
      <c r="G14" s="383"/>
      <c r="H14" s="379" t="s">
        <v>4</v>
      </c>
    </row>
    <row r="15" spans="1:8" ht="18" customHeight="1">
      <c r="A15" s="379" t="s">
        <v>434</v>
      </c>
      <c r="B15" s="383"/>
      <c r="C15" s="379" t="s">
        <v>4</v>
      </c>
      <c r="D15" s="380"/>
      <c r="F15" s="379" t="s">
        <v>434</v>
      </c>
      <c r="G15" s="383"/>
      <c r="H15" s="379" t="s">
        <v>4</v>
      </c>
    </row>
    <row r="16" spans="1:8" ht="18" customHeight="1">
      <c r="A16" s="379" t="s">
        <v>435</v>
      </c>
      <c r="B16" s="383"/>
      <c r="C16" s="379" t="s">
        <v>4</v>
      </c>
      <c r="D16" s="380"/>
      <c r="F16" s="379" t="s">
        <v>435</v>
      </c>
      <c r="G16" s="383"/>
      <c r="H16" s="379" t="s">
        <v>4</v>
      </c>
    </row>
    <row r="17" ht="14.25">
      <c r="D17" s="380"/>
    </row>
    <row r="18" spans="1:8" ht="18" customHeight="1">
      <c r="A18" s="379" t="s">
        <v>446</v>
      </c>
      <c r="B18" s="381"/>
      <c r="C18" s="382"/>
      <c r="D18" s="380"/>
      <c r="F18" s="379" t="s">
        <v>446</v>
      </c>
      <c r="G18" s="381"/>
      <c r="H18" s="382"/>
    </row>
    <row r="19" spans="2:8" ht="9" customHeight="1">
      <c r="B19" s="384"/>
      <c r="C19" s="384"/>
      <c r="D19" s="380"/>
      <c r="G19" s="384"/>
      <c r="H19" s="384"/>
    </row>
    <row r="20" spans="1:8" ht="18" customHeight="1">
      <c r="A20" s="385" t="s">
        <v>447</v>
      </c>
      <c r="B20" s="384"/>
      <c r="C20" s="384"/>
      <c r="D20" s="380"/>
      <c r="F20" s="385" t="s">
        <v>447</v>
      </c>
      <c r="G20" s="384"/>
      <c r="H20" s="384"/>
    </row>
    <row r="21" spans="1:8" ht="14.25" customHeight="1">
      <c r="A21" s="386"/>
      <c r="B21" s="387"/>
      <c r="C21" s="387"/>
      <c r="D21" s="380"/>
      <c r="F21" s="386"/>
      <c r="G21" s="387"/>
      <c r="H21" s="387"/>
    </row>
    <row r="22" spans="1:8" ht="14.25" customHeight="1">
      <c r="A22" s="386"/>
      <c r="B22" s="387"/>
      <c r="C22" s="387"/>
      <c r="D22" s="380"/>
      <c r="F22" s="386"/>
      <c r="G22" s="387"/>
      <c r="H22" s="387"/>
    </row>
    <row r="23" spans="1:8" ht="14.25" customHeight="1" thickBot="1">
      <c r="A23" s="388"/>
      <c r="B23" s="389"/>
      <c r="C23" s="389"/>
      <c r="D23" s="390"/>
      <c r="E23" s="389"/>
      <c r="F23" s="388"/>
      <c r="G23" s="389"/>
      <c r="H23" s="389"/>
    </row>
    <row r="24" spans="1:8" ht="18" customHeight="1">
      <c r="A24" s="384"/>
      <c r="B24" s="384"/>
      <c r="C24" s="384"/>
      <c r="D24" s="380"/>
      <c r="E24" s="384"/>
      <c r="F24" s="384"/>
      <c r="G24" s="384"/>
      <c r="H24" s="384"/>
    </row>
    <row r="25" spans="2:8" ht="18" customHeight="1">
      <c r="B25" s="384"/>
      <c r="C25" s="384"/>
      <c r="D25" s="380"/>
      <c r="G25" s="384"/>
      <c r="H25" s="384"/>
    </row>
    <row r="26" spans="1:8" ht="18" customHeight="1">
      <c r="A26" s="379" t="s">
        <v>443</v>
      </c>
      <c r="B26" s="381"/>
      <c r="C26" s="382"/>
      <c r="D26" s="380"/>
      <c r="F26" s="379" t="s">
        <v>443</v>
      </c>
      <c r="G26" s="381"/>
      <c r="H26" s="382"/>
    </row>
    <row r="27" spans="1:8" ht="18" customHeight="1">
      <c r="A27" s="379" t="s">
        <v>444</v>
      </c>
      <c r="B27" s="381"/>
      <c r="C27" s="382"/>
      <c r="D27" s="380"/>
      <c r="F27" s="379" t="s">
        <v>444</v>
      </c>
      <c r="G27" s="381"/>
      <c r="H27" s="382"/>
    </row>
    <row r="28" spans="1:8" ht="18" customHeight="1">
      <c r="A28" s="379" t="s">
        <v>445</v>
      </c>
      <c r="B28" s="381"/>
      <c r="C28" s="382"/>
      <c r="D28" s="380"/>
      <c r="F28" s="379" t="s">
        <v>445</v>
      </c>
      <c r="G28" s="381"/>
      <c r="H28" s="382"/>
    </row>
    <row r="29" ht="14.25">
      <c r="D29" s="380"/>
    </row>
    <row r="30" spans="1:8" ht="18" customHeight="1">
      <c r="A30" s="379" t="s">
        <v>416</v>
      </c>
      <c r="B30" s="383"/>
      <c r="C30" s="379" t="s">
        <v>4</v>
      </c>
      <c r="D30" s="380"/>
      <c r="F30" s="379" t="s">
        <v>416</v>
      </c>
      <c r="G30" s="383"/>
      <c r="H30" s="379" t="s">
        <v>4</v>
      </c>
    </row>
    <row r="31" spans="1:8" ht="18" customHeight="1">
      <c r="A31" s="379" t="s">
        <v>418</v>
      </c>
      <c r="B31" s="383"/>
      <c r="C31" s="379" t="s">
        <v>4</v>
      </c>
      <c r="D31" s="380"/>
      <c r="F31" s="379" t="s">
        <v>418</v>
      </c>
      <c r="G31" s="383"/>
      <c r="H31" s="379" t="s">
        <v>4</v>
      </c>
    </row>
    <row r="32" spans="1:8" ht="18" customHeight="1">
      <c r="A32" s="379" t="s">
        <v>421</v>
      </c>
      <c r="B32" s="383"/>
      <c r="C32" s="379" t="s">
        <v>4</v>
      </c>
      <c r="D32" s="380"/>
      <c r="F32" s="379" t="s">
        <v>421</v>
      </c>
      <c r="G32" s="383"/>
      <c r="H32" s="379" t="s">
        <v>4</v>
      </c>
    </row>
    <row r="33" spans="1:8" ht="18" customHeight="1">
      <c r="A33" s="379" t="s">
        <v>424</v>
      </c>
      <c r="B33" s="383"/>
      <c r="C33" s="379" t="s">
        <v>4</v>
      </c>
      <c r="D33" s="380"/>
      <c r="F33" s="379" t="s">
        <v>424</v>
      </c>
      <c r="G33" s="383"/>
      <c r="H33" s="379" t="s">
        <v>4</v>
      </c>
    </row>
    <row r="34" spans="1:8" ht="18" customHeight="1">
      <c r="A34" s="379" t="s">
        <v>425</v>
      </c>
      <c r="B34" s="383"/>
      <c r="C34" s="379" t="s">
        <v>4</v>
      </c>
      <c r="D34" s="380"/>
      <c r="F34" s="379" t="s">
        <v>425</v>
      </c>
      <c r="G34" s="383"/>
      <c r="H34" s="379" t="s">
        <v>4</v>
      </c>
    </row>
    <row r="35" spans="1:8" ht="18" customHeight="1">
      <c r="A35" s="379" t="s">
        <v>427</v>
      </c>
      <c r="B35" s="383"/>
      <c r="C35" s="379" t="s">
        <v>4</v>
      </c>
      <c r="D35" s="380"/>
      <c r="F35" s="379" t="s">
        <v>427</v>
      </c>
      <c r="G35" s="383"/>
      <c r="H35" s="379" t="s">
        <v>4</v>
      </c>
    </row>
    <row r="36" spans="1:8" ht="18" customHeight="1">
      <c r="A36" s="379" t="s">
        <v>429</v>
      </c>
      <c r="B36" s="383"/>
      <c r="C36" s="379" t="s">
        <v>4</v>
      </c>
      <c r="D36" s="380"/>
      <c r="F36" s="379" t="s">
        <v>429</v>
      </c>
      <c r="G36" s="383"/>
      <c r="H36" s="379" t="s">
        <v>4</v>
      </c>
    </row>
    <row r="37" spans="1:8" ht="18" customHeight="1">
      <c r="A37" s="379" t="s">
        <v>432</v>
      </c>
      <c r="B37" s="383"/>
      <c r="C37" s="379" t="s">
        <v>4</v>
      </c>
      <c r="D37" s="380"/>
      <c r="F37" s="379" t="s">
        <v>432</v>
      </c>
      <c r="G37" s="383"/>
      <c r="H37" s="379" t="s">
        <v>4</v>
      </c>
    </row>
    <row r="38" spans="1:8" ht="18" customHeight="1">
      <c r="A38" s="379" t="s">
        <v>434</v>
      </c>
      <c r="B38" s="383"/>
      <c r="C38" s="379" t="s">
        <v>4</v>
      </c>
      <c r="D38" s="380"/>
      <c r="F38" s="379" t="s">
        <v>434</v>
      </c>
      <c r="G38" s="383"/>
      <c r="H38" s="379" t="s">
        <v>4</v>
      </c>
    </row>
    <row r="39" spans="1:8" ht="18" customHeight="1">
      <c r="A39" s="379" t="s">
        <v>435</v>
      </c>
      <c r="B39" s="383"/>
      <c r="C39" s="379" t="s">
        <v>4</v>
      </c>
      <c r="D39" s="380"/>
      <c r="F39" s="379" t="s">
        <v>435</v>
      </c>
      <c r="G39" s="383"/>
      <c r="H39" s="379" t="s">
        <v>4</v>
      </c>
    </row>
    <row r="40" ht="14.25">
      <c r="D40" s="380"/>
    </row>
    <row r="41" spans="1:8" ht="18" customHeight="1">
      <c r="A41" s="379" t="s">
        <v>446</v>
      </c>
      <c r="B41" s="381"/>
      <c r="C41" s="382"/>
      <c r="D41" s="380"/>
      <c r="F41" s="379" t="s">
        <v>446</v>
      </c>
      <c r="G41" s="381"/>
      <c r="H41" s="382"/>
    </row>
    <row r="42" spans="2:8" ht="9" customHeight="1">
      <c r="B42" s="384"/>
      <c r="C42" s="384"/>
      <c r="D42" s="380"/>
      <c r="G42" s="384"/>
      <c r="H42" s="384"/>
    </row>
    <row r="43" spans="1:8" ht="18" customHeight="1">
      <c r="A43" s="385" t="s">
        <v>447</v>
      </c>
      <c r="B43" s="384"/>
      <c r="C43" s="384"/>
      <c r="D43" s="380"/>
      <c r="F43" s="385" t="s">
        <v>447</v>
      </c>
      <c r="G43" s="384"/>
      <c r="H43" s="384"/>
    </row>
    <row r="44" spans="1:8" ht="14.25" customHeight="1">
      <c r="A44" s="386"/>
      <c r="B44" s="387"/>
      <c r="C44" s="387"/>
      <c r="D44" s="380"/>
      <c r="F44" s="386"/>
      <c r="G44" s="387"/>
      <c r="H44" s="387"/>
    </row>
    <row r="45" spans="1:8" ht="14.25" customHeight="1">
      <c r="A45" s="386"/>
      <c r="B45" s="387"/>
      <c r="C45" s="387"/>
      <c r="D45" s="380"/>
      <c r="F45" s="386"/>
      <c r="G45" s="387"/>
      <c r="H45" s="387"/>
    </row>
    <row r="46" spans="1:8" ht="14.25" customHeight="1">
      <c r="A46" s="386"/>
      <c r="B46" s="387"/>
      <c r="C46" s="387"/>
      <c r="D46" s="380"/>
      <c r="F46" s="386"/>
      <c r="G46" s="387"/>
      <c r="H46" s="387"/>
    </row>
  </sheetData>
  <sheetProtection sheet="1" objects="1" scenarios="1"/>
  <printOptions/>
  <pageMargins left="0.787401575" right="0.787401575" top="0.984251969" bottom="0.984251969" header="0.4921259845" footer="0.4921259845"/>
  <pageSetup orientation="portrait" paperSize="9" r:id="rId1"/>
  <headerFooter alignWithMargins="0">
    <oddFooter>&amp;R&amp;F; &amp;A</oddFooter>
  </headerFooter>
</worksheet>
</file>

<file path=xl/worksheets/sheet7.xml><?xml version="1.0" encoding="utf-8"?>
<worksheet xmlns="http://schemas.openxmlformats.org/spreadsheetml/2006/main" xmlns:r="http://schemas.openxmlformats.org/officeDocument/2006/relationships">
  <sheetPr codeName="Tabelle9">
    <tabColor indexed="51"/>
    <pageSetUpPr fitToPage="1"/>
  </sheetPr>
  <dimension ref="A1:J49"/>
  <sheetViews>
    <sheetView zoomScalePageLayoutView="0" workbookViewId="0" topLeftCell="A1">
      <selection activeCell="K1" sqref="K1"/>
    </sheetView>
  </sheetViews>
  <sheetFormatPr defaultColWidth="11.421875" defaultRowHeight="12.75"/>
  <cols>
    <col min="1" max="1" width="16.7109375" style="8" customWidth="1"/>
    <col min="2" max="2" width="4.7109375" style="8" customWidth="1"/>
    <col min="3" max="7" width="11.00390625" style="8" customWidth="1"/>
    <col min="8" max="8" width="11.7109375" style="8" customWidth="1"/>
    <col min="9" max="10" width="12.7109375" style="8" customWidth="1"/>
    <col min="11" max="16384" width="11.421875" style="11" customWidth="1"/>
  </cols>
  <sheetData>
    <row r="1" spans="1:10" ht="18" customHeight="1">
      <c r="A1" s="97" t="s">
        <v>26</v>
      </c>
      <c r="B1" s="484"/>
      <c r="C1" s="484"/>
      <c r="D1" s="484"/>
      <c r="E1" s="69"/>
      <c r="F1" s="144" t="s">
        <v>205</v>
      </c>
      <c r="G1" s="49"/>
      <c r="H1" s="155"/>
      <c r="I1" s="152" t="s">
        <v>206</v>
      </c>
      <c r="J1" s="67"/>
    </row>
    <row r="2" spans="1:10" ht="18" customHeight="1">
      <c r="A2" s="91" t="s">
        <v>211</v>
      </c>
      <c r="B2" s="14"/>
      <c r="C2" s="14"/>
      <c r="D2" s="154"/>
      <c r="E2" s="14"/>
      <c r="F2" s="143"/>
      <c r="G2" s="85"/>
      <c r="H2" s="53"/>
      <c r="I2" s="153"/>
      <c r="J2" s="68"/>
    </row>
    <row r="3" spans="1:10" ht="12.75">
      <c r="A3" s="65"/>
      <c r="B3" s="15"/>
      <c r="C3" s="15"/>
      <c r="D3" s="15"/>
      <c r="E3" s="71"/>
      <c r="F3" s="71"/>
      <c r="G3" s="71"/>
      <c r="H3" s="71"/>
      <c r="I3" s="71"/>
      <c r="J3" s="94"/>
    </row>
    <row r="4" spans="1:10" ht="18" customHeight="1">
      <c r="A4" s="95" t="s">
        <v>79</v>
      </c>
      <c r="B4" s="85"/>
      <c r="C4" s="98"/>
      <c r="D4" s="85"/>
      <c r="E4" s="85"/>
      <c r="F4" s="85"/>
      <c r="G4" s="85"/>
      <c r="H4" s="85"/>
      <c r="I4" s="85"/>
      <c r="J4" s="96"/>
    </row>
    <row r="5" spans="1:10" ht="18" customHeight="1">
      <c r="A5" s="391" t="s">
        <v>449</v>
      </c>
      <c r="B5" s="14"/>
      <c r="C5" s="5"/>
      <c r="D5" s="5"/>
      <c r="E5" s="5"/>
      <c r="F5" s="5"/>
      <c r="G5" s="5"/>
      <c r="H5" s="5"/>
      <c r="I5" s="5"/>
      <c r="J5" s="61"/>
    </row>
    <row r="6" spans="1:10" ht="25.5">
      <c r="A6" s="181" t="s">
        <v>3</v>
      </c>
      <c r="B6" s="178" t="s">
        <v>4</v>
      </c>
      <c r="C6" s="182" t="s">
        <v>5</v>
      </c>
      <c r="D6" s="182" t="s">
        <v>6</v>
      </c>
      <c r="E6" s="182" t="s">
        <v>7</v>
      </c>
      <c r="F6" s="182" t="s">
        <v>8</v>
      </c>
      <c r="G6" s="182" t="s">
        <v>9</v>
      </c>
      <c r="H6" s="182" t="s">
        <v>10</v>
      </c>
      <c r="I6" s="182" t="s">
        <v>11</v>
      </c>
      <c r="J6" s="182" t="s">
        <v>241</v>
      </c>
    </row>
    <row r="7" spans="1:10" ht="18" customHeight="1">
      <c r="A7" s="177" t="s">
        <v>212</v>
      </c>
      <c r="B7" s="178" t="s">
        <v>4</v>
      </c>
      <c r="C7" s="1"/>
      <c r="D7" s="1"/>
      <c r="E7" s="1"/>
      <c r="F7" s="1"/>
      <c r="G7" s="1"/>
      <c r="H7" s="1"/>
      <c r="I7" s="1"/>
      <c r="J7" s="1"/>
    </row>
    <row r="8" spans="1:10" ht="20.25" customHeight="1">
      <c r="A8" s="183" t="s">
        <v>210</v>
      </c>
      <c r="B8" s="184" t="s">
        <v>4</v>
      </c>
      <c r="C8" s="2"/>
      <c r="D8" s="2"/>
      <c r="E8" s="2"/>
      <c r="F8" s="2"/>
      <c r="G8" s="2"/>
      <c r="H8" s="2"/>
      <c r="I8" s="2"/>
      <c r="J8" s="2"/>
    </row>
    <row r="9" spans="1:10" ht="20.25" customHeight="1">
      <c r="A9" s="183" t="s">
        <v>210</v>
      </c>
      <c r="B9" s="185" t="s">
        <v>4</v>
      </c>
      <c r="C9" s="3"/>
      <c r="D9" s="3"/>
      <c r="E9" s="3"/>
      <c r="F9" s="3"/>
      <c r="G9" s="3"/>
      <c r="H9" s="3"/>
      <c r="I9" s="3"/>
      <c r="J9" s="3"/>
    </row>
    <row r="10" spans="1:10" ht="20.25" customHeight="1">
      <c r="A10" s="183" t="s">
        <v>210</v>
      </c>
      <c r="B10" s="185" t="s">
        <v>4</v>
      </c>
      <c r="C10" s="3"/>
      <c r="D10" s="3"/>
      <c r="E10" s="3"/>
      <c r="F10" s="3"/>
      <c r="G10" s="3"/>
      <c r="H10" s="3"/>
      <c r="I10" s="3"/>
      <c r="J10" s="3"/>
    </row>
    <row r="11" spans="1:10" ht="20.25" customHeight="1">
      <c r="A11" s="183" t="s">
        <v>210</v>
      </c>
      <c r="B11" s="185" t="s">
        <v>4</v>
      </c>
      <c r="C11" s="3"/>
      <c r="D11" s="3"/>
      <c r="E11" s="3"/>
      <c r="F11" s="3"/>
      <c r="G11" s="3"/>
      <c r="H11" s="3"/>
      <c r="I11" s="3"/>
      <c r="J11" s="3"/>
    </row>
    <row r="12" spans="1:10" ht="20.25" customHeight="1">
      <c r="A12" s="190" t="s">
        <v>210</v>
      </c>
      <c r="B12" s="191" t="s">
        <v>4</v>
      </c>
      <c r="C12" s="4"/>
      <c r="D12" s="4"/>
      <c r="E12" s="4"/>
      <c r="F12" s="4"/>
      <c r="G12" s="4"/>
      <c r="H12" s="4"/>
      <c r="I12" s="4"/>
      <c r="J12" s="4"/>
    </row>
    <row r="13" spans="1:10" ht="24" customHeight="1">
      <c r="A13" s="145" t="s">
        <v>207</v>
      </c>
      <c r="B13" s="14"/>
      <c r="D13" s="160" t="s">
        <v>218</v>
      </c>
      <c r="E13" s="16"/>
      <c r="F13" s="7" t="s">
        <v>4</v>
      </c>
      <c r="G13" s="149" t="s">
        <v>55</v>
      </c>
      <c r="H13" s="14"/>
      <c r="I13" s="14"/>
      <c r="J13" s="51"/>
    </row>
    <row r="14" spans="1:10" ht="20.25" customHeight="1">
      <c r="A14" s="64"/>
      <c r="B14" s="14"/>
      <c r="C14" s="14"/>
      <c r="D14" s="14"/>
      <c r="E14" s="14"/>
      <c r="F14" s="147"/>
      <c r="G14" s="147"/>
      <c r="H14" s="167" t="s">
        <v>213</v>
      </c>
      <c r="I14" s="161"/>
      <c r="J14" s="165" t="s">
        <v>4</v>
      </c>
    </row>
    <row r="15" spans="1:10" ht="20.25" customHeight="1">
      <c r="A15" s="64"/>
      <c r="B15" s="14"/>
      <c r="C15" s="14"/>
      <c r="D15" s="14"/>
      <c r="E15" s="14"/>
      <c r="F15" s="147"/>
      <c r="G15" s="147"/>
      <c r="H15" s="167" t="s">
        <v>216</v>
      </c>
      <c r="I15" s="1"/>
      <c r="J15" s="162" t="s">
        <v>4</v>
      </c>
    </row>
    <row r="16" spans="1:10" ht="20.25" customHeight="1">
      <c r="A16" s="64"/>
      <c r="B16" s="14"/>
      <c r="C16" s="14"/>
      <c r="D16" s="14"/>
      <c r="E16" s="14"/>
      <c r="F16" s="14"/>
      <c r="G16" s="14"/>
      <c r="H16" s="167" t="s">
        <v>217</v>
      </c>
      <c r="I16" s="146"/>
      <c r="J16" s="163" t="s">
        <v>4</v>
      </c>
    </row>
    <row r="17" spans="1:10" ht="20.25" customHeight="1">
      <c r="A17" s="148"/>
      <c r="B17" s="98"/>
      <c r="C17" s="98"/>
      <c r="D17" s="98"/>
      <c r="E17" s="14"/>
      <c r="F17" s="14"/>
      <c r="G17" s="14"/>
      <c r="H17" s="167" t="s">
        <v>215</v>
      </c>
      <c r="I17" s="146"/>
      <c r="J17" s="163" t="s">
        <v>4</v>
      </c>
    </row>
    <row r="18" spans="1:10" ht="20.25" customHeight="1">
      <c r="A18" s="151" t="s">
        <v>208</v>
      </c>
      <c r="B18" s="98"/>
      <c r="C18" s="98"/>
      <c r="D18" s="98"/>
      <c r="E18" s="14"/>
      <c r="F18" s="14"/>
      <c r="G18" s="14"/>
      <c r="H18" s="167" t="s">
        <v>214</v>
      </c>
      <c r="I18" s="146"/>
      <c r="J18" s="51" t="s">
        <v>4</v>
      </c>
    </row>
    <row r="19" spans="1:10" ht="18" customHeight="1">
      <c r="A19" s="156"/>
      <c r="B19" s="157"/>
      <c r="C19" s="157"/>
      <c r="D19" s="157"/>
      <c r="E19" s="154"/>
      <c r="F19" s="154"/>
      <c r="G19" s="154"/>
      <c r="H19" s="154"/>
      <c r="I19" s="154"/>
      <c r="J19" s="164"/>
    </row>
    <row r="20" spans="1:10" ht="18" customHeight="1">
      <c r="A20" s="156"/>
      <c r="B20" s="157"/>
      <c r="C20" s="157"/>
      <c r="D20" s="157"/>
      <c r="E20" s="154"/>
      <c r="F20" s="154"/>
      <c r="G20" s="154"/>
      <c r="H20" s="154"/>
      <c r="I20" s="154"/>
      <c r="J20" s="158"/>
    </row>
    <row r="21" spans="1:10" ht="18" customHeight="1">
      <c r="A21" s="156"/>
      <c r="B21" s="157"/>
      <c r="C21" s="157"/>
      <c r="D21" s="157"/>
      <c r="E21" s="154"/>
      <c r="F21" s="154"/>
      <c r="G21" s="154"/>
      <c r="H21" s="154"/>
      <c r="I21" s="154"/>
      <c r="J21" s="158"/>
    </row>
    <row r="22" spans="1:10" ht="24" customHeight="1">
      <c r="A22" s="159"/>
      <c r="B22" s="98"/>
      <c r="C22" s="98"/>
      <c r="D22" s="98"/>
      <c r="E22" s="14"/>
      <c r="F22" s="14"/>
      <c r="G22" s="14"/>
      <c r="H22" s="14"/>
      <c r="I22" s="14"/>
      <c r="J22" s="93"/>
    </row>
    <row r="23" spans="1:10" ht="12.75">
      <c r="A23" s="99" t="s">
        <v>74</v>
      </c>
      <c r="B23" s="100"/>
      <c r="C23" s="100"/>
      <c r="D23" s="100"/>
      <c r="E23" s="15"/>
      <c r="F23" s="150"/>
      <c r="G23" s="71"/>
      <c r="H23" s="71"/>
      <c r="I23" s="71"/>
      <c r="J23" s="92"/>
    </row>
    <row r="24" spans="1:4" ht="18" customHeight="1" thickBot="1">
      <c r="A24" s="52"/>
      <c r="B24" s="85"/>
      <c r="C24" s="85"/>
      <c r="D24" s="85"/>
    </row>
    <row r="25" spans="1:10" ht="1.5" customHeight="1" thickBot="1" thickTop="1">
      <c r="A25" s="89"/>
      <c r="B25" s="90"/>
      <c r="C25" s="90"/>
      <c r="D25" s="90"/>
      <c r="E25" s="90"/>
      <c r="F25" s="90"/>
      <c r="G25" s="90"/>
      <c r="H25" s="90"/>
      <c r="I25" s="90"/>
      <c r="J25" s="90"/>
    </row>
    <row r="26" spans="1:10" ht="18" customHeight="1" thickTop="1">
      <c r="A26" s="7"/>
      <c r="B26" s="14"/>
      <c r="C26" s="14"/>
      <c r="D26" s="14"/>
      <c r="E26" s="14"/>
      <c r="F26" s="14"/>
      <c r="G26" s="14"/>
      <c r="H26" s="14"/>
      <c r="I26" s="14"/>
      <c r="J26" s="14"/>
    </row>
    <row r="27" spans="1:10" ht="18" customHeight="1">
      <c r="A27" s="97" t="s">
        <v>26</v>
      </c>
      <c r="B27" s="484"/>
      <c r="C27" s="484"/>
      <c r="D27" s="484"/>
      <c r="E27" s="69"/>
      <c r="F27" s="144" t="s">
        <v>205</v>
      </c>
      <c r="G27" s="49"/>
      <c r="H27" s="155"/>
      <c r="I27" s="152" t="s">
        <v>206</v>
      </c>
      <c r="J27" s="67"/>
    </row>
    <row r="28" spans="1:10" ht="18" customHeight="1">
      <c r="A28" s="91" t="s">
        <v>211</v>
      </c>
      <c r="B28" s="14"/>
      <c r="C28" s="14"/>
      <c r="D28" s="154"/>
      <c r="E28" s="14"/>
      <c r="F28" s="143"/>
      <c r="G28" s="85"/>
      <c r="H28" s="53"/>
      <c r="I28" s="153"/>
      <c r="J28" s="68"/>
    </row>
    <row r="29" spans="1:10" ht="12.75">
      <c r="A29" s="65"/>
      <c r="B29" s="15"/>
      <c r="C29" s="15"/>
      <c r="D29" s="15"/>
      <c r="E29" s="71"/>
      <c r="F29" s="71"/>
      <c r="G29" s="71"/>
      <c r="H29" s="71"/>
      <c r="I29" s="71"/>
      <c r="J29" s="94"/>
    </row>
    <row r="30" spans="1:10" ht="18" customHeight="1">
      <c r="A30" s="95" t="s">
        <v>79</v>
      </c>
      <c r="B30" s="85"/>
      <c r="C30" s="98"/>
      <c r="D30" s="85"/>
      <c r="E30" s="85"/>
      <c r="F30" s="85"/>
      <c r="G30" s="85"/>
      <c r="H30" s="85"/>
      <c r="I30" s="85"/>
      <c r="J30" s="96"/>
    </row>
    <row r="31" spans="1:10" ht="18" customHeight="1">
      <c r="A31" s="166" t="s">
        <v>55</v>
      </c>
      <c r="B31" s="14"/>
      <c r="C31" s="5"/>
      <c r="D31" s="5"/>
      <c r="E31" s="5"/>
      <c r="F31" s="5"/>
      <c r="G31" s="5"/>
      <c r="H31" s="5"/>
      <c r="I31" s="5"/>
      <c r="J31" s="61"/>
    </row>
    <row r="32" spans="1:10" ht="25.5">
      <c r="A32" s="181" t="s">
        <v>3</v>
      </c>
      <c r="B32" s="178" t="s">
        <v>4</v>
      </c>
      <c r="C32" s="182" t="s">
        <v>5</v>
      </c>
      <c r="D32" s="182" t="s">
        <v>6</v>
      </c>
      <c r="E32" s="182" t="s">
        <v>7</v>
      </c>
      <c r="F32" s="182" t="s">
        <v>8</v>
      </c>
      <c r="G32" s="182" t="s">
        <v>9</v>
      </c>
      <c r="H32" s="182" t="s">
        <v>10</v>
      </c>
      <c r="I32" s="182" t="s">
        <v>11</v>
      </c>
      <c r="J32" s="182" t="s">
        <v>241</v>
      </c>
    </row>
    <row r="33" spans="1:10" ht="18" customHeight="1">
      <c r="A33" s="177" t="s">
        <v>212</v>
      </c>
      <c r="B33" s="178" t="s">
        <v>4</v>
      </c>
      <c r="C33" s="1"/>
      <c r="D33" s="1"/>
      <c r="E33" s="1"/>
      <c r="F33" s="1"/>
      <c r="G33" s="1"/>
      <c r="H33" s="1"/>
      <c r="I33" s="1"/>
      <c r="J33" s="1"/>
    </row>
    <row r="34" spans="1:10" ht="20.25" customHeight="1">
      <c r="A34" s="183" t="s">
        <v>210</v>
      </c>
      <c r="B34" s="184" t="s">
        <v>4</v>
      </c>
      <c r="C34" s="2"/>
      <c r="D34" s="2"/>
      <c r="E34" s="2"/>
      <c r="F34" s="2"/>
      <c r="G34" s="2"/>
      <c r="H34" s="2"/>
      <c r="I34" s="2"/>
      <c r="J34" s="2"/>
    </row>
    <row r="35" spans="1:10" ht="20.25" customHeight="1">
      <c r="A35" s="183" t="s">
        <v>210</v>
      </c>
      <c r="B35" s="185" t="s">
        <v>4</v>
      </c>
      <c r="C35" s="3"/>
      <c r="D35" s="3"/>
      <c r="E35" s="3"/>
      <c r="F35" s="3"/>
      <c r="G35" s="3"/>
      <c r="H35" s="3"/>
      <c r="I35" s="3"/>
      <c r="J35" s="3"/>
    </row>
    <row r="36" spans="1:10" ht="20.25" customHeight="1">
      <c r="A36" s="183" t="s">
        <v>210</v>
      </c>
      <c r="B36" s="185" t="s">
        <v>4</v>
      </c>
      <c r="C36" s="3"/>
      <c r="D36" s="3"/>
      <c r="E36" s="3"/>
      <c r="F36" s="3"/>
      <c r="G36" s="3"/>
      <c r="H36" s="3"/>
      <c r="I36" s="3"/>
      <c r="J36" s="3"/>
    </row>
    <row r="37" spans="1:10" ht="20.25" customHeight="1">
      <c r="A37" s="183" t="s">
        <v>210</v>
      </c>
      <c r="B37" s="185" t="s">
        <v>4</v>
      </c>
      <c r="C37" s="3"/>
      <c r="D37" s="3"/>
      <c r="E37" s="3"/>
      <c r="F37" s="3"/>
      <c r="G37" s="3"/>
      <c r="H37" s="3"/>
      <c r="I37" s="3"/>
      <c r="J37" s="3"/>
    </row>
    <row r="38" spans="1:10" ht="20.25" customHeight="1">
      <c r="A38" s="190" t="s">
        <v>210</v>
      </c>
      <c r="B38" s="191" t="s">
        <v>4</v>
      </c>
      <c r="C38" s="4"/>
      <c r="D38" s="4"/>
      <c r="E38" s="4"/>
      <c r="F38" s="4"/>
      <c r="G38" s="4"/>
      <c r="H38" s="4"/>
      <c r="I38" s="4"/>
      <c r="J38" s="4"/>
    </row>
    <row r="39" spans="1:10" ht="24" customHeight="1">
      <c r="A39" s="145" t="s">
        <v>207</v>
      </c>
      <c r="B39" s="14"/>
      <c r="D39" s="160" t="s">
        <v>218</v>
      </c>
      <c r="E39" s="16"/>
      <c r="F39" s="7" t="s">
        <v>4</v>
      </c>
      <c r="G39" s="149" t="s">
        <v>55</v>
      </c>
      <c r="H39" s="14"/>
      <c r="I39" s="14"/>
      <c r="J39" s="51"/>
    </row>
    <row r="40" spans="1:10" ht="20.25" customHeight="1">
      <c r="A40" s="64"/>
      <c r="B40" s="14"/>
      <c r="C40" s="14"/>
      <c r="D40" s="14"/>
      <c r="E40" s="14"/>
      <c r="F40" s="147"/>
      <c r="G40" s="147"/>
      <c r="H40" s="167" t="s">
        <v>213</v>
      </c>
      <c r="I40" s="161"/>
      <c r="J40" s="165" t="s">
        <v>4</v>
      </c>
    </row>
    <row r="41" spans="1:10" ht="20.25" customHeight="1">
      <c r="A41" s="64"/>
      <c r="B41" s="14"/>
      <c r="C41" s="14"/>
      <c r="D41" s="14"/>
      <c r="E41" s="14"/>
      <c r="F41" s="147"/>
      <c r="G41" s="147"/>
      <c r="H41" s="167" t="s">
        <v>216</v>
      </c>
      <c r="I41" s="1"/>
      <c r="J41" s="162" t="s">
        <v>4</v>
      </c>
    </row>
    <row r="42" spans="1:10" ht="20.25" customHeight="1">
      <c r="A42" s="64"/>
      <c r="B42" s="14"/>
      <c r="C42" s="14"/>
      <c r="D42" s="14"/>
      <c r="E42" s="14"/>
      <c r="F42" s="14"/>
      <c r="G42" s="14"/>
      <c r="H42" s="167" t="s">
        <v>217</v>
      </c>
      <c r="I42" s="146"/>
      <c r="J42" s="163" t="s">
        <v>4</v>
      </c>
    </row>
    <row r="43" spans="1:10" ht="20.25" customHeight="1">
      <c r="A43" s="148"/>
      <c r="B43" s="98"/>
      <c r="C43" s="98"/>
      <c r="D43" s="98"/>
      <c r="E43" s="14"/>
      <c r="F43" s="14"/>
      <c r="G43" s="14"/>
      <c r="H43" s="167" t="s">
        <v>215</v>
      </c>
      <c r="I43" s="146"/>
      <c r="J43" s="163" t="s">
        <v>4</v>
      </c>
    </row>
    <row r="44" spans="1:10" ht="20.25" customHeight="1">
      <c r="A44" s="151" t="s">
        <v>208</v>
      </c>
      <c r="B44" s="98"/>
      <c r="C44" s="98"/>
      <c r="D44" s="98"/>
      <c r="E44" s="14"/>
      <c r="F44" s="14"/>
      <c r="G44" s="14"/>
      <c r="H44" s="167" t="s">
        <v>214</v>
      </c>
      <c r="I44" s="146"/>
      <c r="J44" s="51" t="s">
        <v>4</v>
      </c>
    </row>
    <row r="45" spans="1:10" ht="18" customHeight="1">
      <c r="A45" s="156"/>
      <c r="B45" s="157"/>
      <c r="C45" s="157"/>
      <c r="D45" s="157"/>
      <c r="E45" s="154"/>
      <c r="F45" s="154"/>
      <c r="G45" s="154"/>
      <c r="H45" s="154"/>
      <c r="I45" s="154"/>
      <c r="J45" s="158"/>
    </row>
    <row r="46" spans="1:10" ht="18" customHeight="1">
      <c r="A46" s="156"/>
      <c r="B46" s="157"/>
      <c r="C46" s="157"/>
      <c r="D46" s="157"/>
      <c r="E46" s="154"/>
      <c r="F46" s="154"/>
      <c r="G46" s="154"/>
      <c r="H46" s="154"/>
      <c r="I46" s="154"/>
      <c r="J46" s="158"/>
    </row>
    <row r="47" spans="1:10" ht="18" customHeight="1">
      <c r="A47" s="156"/>
      <c r="B47" s="157"/>
      <c r="C47" s="157"/>
      <c r="D47" s="157"/>
      <c r="E47" s="154"/>
      <c r="F47" s="154"/>
      <c r="G47" s="154"/>
      <c r="H47" s="154"/>
      <c r="I47" s="154"/>
      <c r="J47" s="158"/>
    </row>
    <row r="48" spans="1:10" ht="24" customHeight="1">
      <c r="A48" s="159"/>
      <c r="B48" s="98"/>
      <c r="C48" s="98"/>
      <c r="D48" s="98"/>
      <c r="E48" s="14"/>
      <c r="F48" s="14"/>
      <c r="G48" s="14"/>
      <c r="H48" s="14"/>
      <c r="I48" s="14"/>
      <c r="J48" s="93"/>
    </row>
    <row r="49" spans="1:10" ht="409.5">
      <c r="A49" s="99" t="s">
        <v>74</v>
      </c>
      <c r="B49" s="100"/>
      <c r="C49" s="100"/>
      <c r="D49" s="100"/>
      <c r="E49" s="15"/>
      <c r="F49" s="150"/>
      <c r="G49" s="71"/>
      <c r="H49" s="71"/>
      <c r="I49" s="71"/>
      <c r="J49" s="92"/>
    </row>
  </sheetData>
  <sheetProtection sheet="1" objects="1" scenarios="1"/>
  <mergeCells count="2">
    <mergeCell ref="B1:D1"/>
    <mergeCell ref="B27:D27"/>
  </mergeCells>
  <printOptions/>
  <pageMargins left="0.5905511811023623" right="0" top="0.3937007874015748" bottom="0.3937007874015748" header="0.31496062992125984" footer="0.31496062992125984"/>
  <pageSetup fitToHeight="1" fitToWidth="1" horizontalDpi="600" verticalDpi="600" orientation="portrait" paperSize="9" scale="85" r:id="rId2"/>
  <headerFooter alignWithMargins="0">
    <oddFooter>&amp;R&amp;F; &amp;A</oddFooter>
  </headerFooter>
  <drawing r:id="rId1"/>
</worksheet>
</file>

<file path=xl/worksheets/sheet8.xml><?xml version="1.0" encoding="utf-8"?>
<worksheet xmlns="http://schemas.openxmlformats.org/spreadsheetml/2006/main" xmlns:r="http://schemas.openxmlformats.org/officeDocument/2006/relationships">
  <sheetPr>
    <tabColor indexed="45"/>
  </sheetPr>
  <dimension ref="A1:K30"/>
  <sheetViews>
    <sheetView zoomScalePageLayoutView="0" workbookViewId="0" topLeftCell="A1">
      <selection activeCell="H33" sqref="H33"/>
    </sheetView>
  </sheetViews>
  <sheetFormatPr defaultColWidth="9.140625" defaultRowHeight="12.75"/>
  <cols>
    <col min="1" max="1" width="35.7109375" style="393" customWidth="1"/>
    <col min="2" max="10" width="12.7109375" style="393" customWidth="1"/>
    <col min="11" max="16384" width="9.140625" style="393" customWidth="1"/>
  </cols>
  <sheetData>
    <row r="1" ht="21">
      <c r="A1" s="392" t="s">
        <v>245</v>
      </c>
    </row>
    <row r="2" ht="18" customHeight="1">
      <c r="A2" s="394" t="s">
        <v>246</v>
      </c>
    </row>
    <row r="3" ht="14.25">
      <c r="A3" s="394" t="s">
        <v>247</v>
      </c>
    </row>
    <row r="4" ht="14.25">
      <c r="A4" s="394" t="s">
        <v>248</v>
      </c>
    </row>
    <row r="5" ht="15">
      <c r="A5" s="395" t="s">
        <v>249</v>
      </c>
    </row>
    <row r="6" ht="15">
      <c r="A6" s="395"/>
    </row>
    <row r="7" spans="1:3" ht="18" customHeight="1">
      <c r="A7" s="393" t="s">
        <v>250</v>
      </c>
      <c r="B7" s="396"/>
      <c r="C7" s="393" t="s">
        <v>251</v>
      </c>
    </row>
    <row r="8" spans="1:3" ht="18" customHeight="1">
      <c r="A8" s="393" t="s">
        <v>252</v>
      </c>
      <c r="B8" s="397"/>
      <c r="C8" s="393" t="s">
        <v>253</v>
      </c>
    </row>
    <row r="9" ht="12.75" customHeight="1"/>
    <row r="10" spans="1:4" ht="18" customHeight="1" thickBot="1">
      <c r="A10" s="398" t="s">
        <v>254</v>
      </c>
      <c r="B10" s="399">
        <f>IF(OR(ISBLANK(B7),ISBLANK(B8)),"",B8*(1-1.2/8000)/(1-1.2/B7/1000))</f>
      </c>
      <c r="C10" s="398" t="s">
        <v>253</v>
      </c>
      <c r="D10" s="400"/>
    </row>
    <row r="11" ht="6" customHeight="1" thickTop="1"/>
    <row r="12" ht="14.25">
      <c r="A12" s="401">
        <f>IF(OR(ISBLANK(B7),ISBLANK(B8)),"","=&gt; Abweichung zum Anzeigewert: "&amp;FIXED(ABS(B8-B10)/B8*100,2)&amp;" %")</f>
      </c>
    </row>
    <row r="13" ht="15">
      <c r="A13" s="395" t="s">
        <v>450</v>
      </c>
    </row>
    <row r="14" spans="1:11" ht="14.25">
      <c r="A14" s="402"/>
      <c r="B14" s="402"/>
      <c r="C14" s="402"/>
      <c r="D14" s="402"/>
      <c r="E14" s="402"/>
      <c r="F14" s="402"/>
      <c r="G14" s="402"/>
      <c r="H14" s="402"/>
      <c r="I14" s="402"/>
      <c r="J14" s="402"/>
      <c r="K14" s="402"/>
    </row>
    <row r="16" spans="1:10" ht="31.5" thickBot="1">
      <c r="A16" s="398" t="s">
        <v>255</v>
      </c>
      <c r="C16" s="403" t="s">
        <v>256</v>
      </c>
      <c r="D16" s="404" t="s">
        <v>257</v>
      </c>
      <c r="E16" s="405" t="s">
        <v>256</v>
      </c>
      <c r="F16" s="404" t="s">
        <v>257</v>
      </c>
      <c r="G16" s="405" t="s">
        <v>256</v>
      </c>
      <c r="H16" s="404" t="s">
        <v>257</v>
      </c>
      <c r="I16" s="405" t="s">
        <v>256</v>
      </c>
      <c r="J16" s="406" t="s">
        <v>257</v>
      </c>
    </row>
    <row r="17" spans="3:10" ht="13.5" customHeight="1">
      <c r="C17" s="407" t="s">
        <v>258</v>
      </c>
      <c r="D17" s="408">
        <v>2.71</v>
      </c>
      <c r="E17" s="409" t="s">
        <v>259</v>
      </c>
      <c r="F17" s="410" t="s">
        <v>260</v>
      </c>
      <c r="G17" s="411" t="s">
        <v>261</v>
      </c>
      <c r="H17" s="408" t="s">
        <v>262</v>
      </c>
      <c r="I17" s="409" t="s">
        <v>263</v>
      </c>
      <c r="J17" s="412">
        <v>12.4</v>
      </c>
    </row>
    <row r="18" spans="3:10" ht="13.5" customHeight="1">
      <c r="C18" s="413" t="s">
        <v>264</v>
      </c>
      <c r="D18" s="414" t="s">
        <v>265</v>
      </c>
      <c r="E18" s="415" t="s">
        <v>266</v>
      </c>
      <c r="F18" s="414">
        <v>2.3</v>
      </c>
      <c r="G18" s="415" t="s">
        <v>267</v>
      </c>
      <c r="H18" s="414">
        <v>8.91</v>
      </c>
      <c r="I18" s="409" t="s">
        <v>268</v>
      </c>
      <c r="J18" s="412">
        <v>2.4</v>
      </c>
    </row>
    <row r="19" spans="3:10" ht="13.5" customHeight="1">
      <c r="C19" s="413" t="s">
        <v>269</v>
      </c>
      <c r="D19" s="414" t="s">
        <v>270</v>
      </c>
      <c r="E19" s="415" t="s">
        <v>271</v>
      </c>
      <c r="F19" s="414">
        <v>2.8</v>
      </c>
      <c r="G19" s="415" t="s">
        <v>272</v>
      </c>
      <c r="H19" s="414">
        <v>22.61</v>
      </c>
      <c r="I19" s="415" t="s">
        <v>273</v>
      </c>
      <c r="J19" s="416" t="s">
        <v>274</v>
      </c>
    </row>
    <row r="20" spans="3:10" ht="13.5" customHeight="1">
      <c r="C20" s="413" t="s">
        <v>275</v>
      </c>
      <c r="D20" s="414">
        <v>11.34</v>
      </c>
      <c r="E20" s="415" t="s">
        <v>276</v>
      </c>
      <c r="F20" s="414" t="s">
        <v>277</v>
      </c>
      <c r="G20" s="415" t="s">
        <v>278</v>
      </c>
      <c r="H20" s="414">
        <v>12</v>
      </c>
      <c r="I20" s="415" t="s">
        <v>279</v>
      </c>
      <c r="J20" s="416">
        <v>10.49</v>
      </c>
    </row>
    <row r="21" spans="3:10" ht="13.5" customHeight="1">
      <c r="C21" s="413" t="s">
        <v>280</v>
      </c>
      <c r="D21" s="414">
        <v>8.64</v>
      </c>
      <c r="E21" s="415" t="s">
        <v>281</v>
      </c>
      <c r="F21" s="414">
        <v>7.25</v>
      </c>
      <c r="G21" s="415" t="s">
        <v>282</v>
      </c>
      <c r="H21" s="414" t="s">
        <v>283</v>
      </c>
      <c r="I21" s="415" t="s">
        <v>284</v>
      </c>
      <c r="J21" s="416">
        <v>2.33</v>
      </c>
    </row>
    <row r="22" spans="3:10" ht="13.5" customHeight="1">
      <c r="C22" s="413" t="s">
        <v>285</v>
      </c>
      <c r="D22" s="414">
        <v>7.2</v>
      </c>
      <c r="E22" s="415" t="s">
        <v>286</v>
      </c>
      <c r="F22" s="414" t="s">
        <v>287</v>
      </c>
      <c r="G22" s="415" t="s">
        <v>288</v>
      </c>
      <c r="H22" s="414" t="s">
        <v>289</v>
      </c>
      <c r="I22" s="415" t="s">
        <v>290</v>
      </c>
      <c r="J22" s="416">
        <v>7.9</v>
      </c>
    </row>
    <row r="23" spans="3:10" ht="13.5" customHeight="1">
      <c r="C23" s="417" t="s">
        <v>291</v>
      </c>
      <c r="D23" s="418">
        <v>8</v>
      </c>
      <c r="E23" s="415" t="s">
        <v>292</v>
      </c>
      <c r="F23" s="414">
        <v>3.51</v>
      </c>
      <c r="G23" s="415" t="s">
        <v>293</v>
      </c>
      <c r="H23" s="414">
        <v>1.35</v>
      </c>
      <c r="I23" s="415" t="s">
        <v>294</v>
      </c>
      <c r="J23" s="416">
        <v>1.35</v>
      </c>
    </row>
    <row r="24" spans="3:10" ht="13.5" customHeight="1">
      <c r="C24" s="413" t="s">
        <v>295</v>
      </c>
      <c r="D24" s="414" t="s">
        <v>283</v>
      </c>
      <c r="E24" s="415" t="s">
        <v>292</v>
      </c>
      <c r="F24" s="414">
        <v>2.25</v>
      </c>
      <c r="G24" s="415" t="s">
        <v>296</v>
      </c>
      <c r="H24" s="414">
        <v>1.82</v>
      </c>
      <c r="I24" s="415" t="s">
        <v>297</v>
      </c>
      <c r="J24" s="416" t="s">
        <v>298</v>
      </c>
    </row>
    <row r="25" spans="3:10" ht="13.5" customHeight="1">
      <c r="C25" s="413" t="s">
        <v>299</v>
      </c>
      <c r="D25" s="414">
        <v>0.92</v>
      </c>
      <c r="E25" s="415" t="s">
        <v>300</v>
      </c>
      <c r="F25" s="414" t="s">
        <v>301</v>
      </c>
      <c r="G25" s="415" t="s">
        <v>302</v>
      </c>
      <c r="H25" s="414">
        <v>21.45</v>
      </c>
      <c r="I25" s="415" t="s">
        <v>303</v>
      </c>
      <c r="J25" s="416" t="s">
        <v>304</v>
      </c>
    </row>
    <row r="26" spans="3:10" ht="13.5" customHeight="1">
      <c r="C26" s="413" t="s">
        <v>305</v>
      </c>
      <c r="D26" s="414">
        <v>7.86</v>
      </c>
      <c r="E26" s="415" t="s">
        <v>306</v>
      </c>
      <c r="F26" s="414" t="s">
        <v>307</v>
      </c>
      <c r="G26" s="415" t="s">
        <v>308</v>
      </c>
      <c r="H26" s="414">
        <v>1.19</v>
      </c>
      <c r="I26" s="415" t="s">
        <v>309</v>
      </c>
      <c r="J26" s="416">
        <v>7.13</v>
      </c>
    </row>
    <row r="27" spans="3:10" ht="13.5" customHeight="1">
      <c r="C27" s="413" t="s">
        <v>310</v>
      </c>
      <c r="D27" s="414">
        <v>5.1</v>
      </c>
      <c r="E27" s="415" t="s">
        <v>311</v>
      </c>
      <c r="F27" s="414">
        <v>1.73</v>
      </c>
      <c r="G27" s="415" t="s">
        <v>312</v>
      </c>
      <c r="H27" s="414" t="s">
        <v>313</v>
      </c>
      <c r="I27" s="415" t="s">
        <v>314</v>
      </c>
      <c r="J27" s="416">
        <v>7.28</v>
      </c>
    </row>
    <row r="28" spans="3:8" ht="13.5" customHeight="1">
      <c r="C28" s="413" t="s">
        <v>315</v>
      </c>
      <c r="D28" s="414">
        <v>7.7</v>
      </c>
      <c r="E28" s="415" t="s">
        <v>316</v>
      </c>
      <c r="F28" s="414">
        <v>7.43</v>
      </c>
      <c r="G28" s="415" t="s">
        <v>317</v>
      </c>
      <c r="H28" s="414">
        <v>2.2</v>
      </c>
    </row>
    <row r="29" spans="3:8" ht="13.5" customHeight="1">
      <c r="C29" s="413" t="s">
        <v>318</v>
      </c>
      <c r="D29" s="414" t="s">
        <v>319</v>
      </c>
      <c r="E29" s="419" t="s">
        <v>320</v>
      </c>
      <c r="F29" s="420" t="s">
        <v>321</v>
      </c>
      <c r="G29" s="415" t="s">
        <v>322</v>
      </c>
      <c r="H29" s="414">
        <v>21.04</v>
      </c>
    </row>
    <row r="30" ht="13.5" customHeight="1">
      <c r="C30" s="421" t="s">
        <v>323</v>
      </c>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sheet="1" objects="1" scenarios="1"/>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11">
    <tabColor indexed="11"/>
  </sheetPr>
  <dimension ref="A1:A1"/>
  <sheetViews>
    <sheetView zoomScalePageLayoutView="0" workbookViewId="0" topLeftCell="A1">
      <selection activeCell="H36" sqref="H36"/>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Vattenfall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Alpers Lars (LAG-A)</dc:creator>
  <cp:keywords/>
  <dc:description/>
  <cp:lastModifiedBy>Lars Alpers</cp:lastModifiedBy>
  <cp:lastPrinted>2016-03-11T09:57:23Z</cp:lastPrinted>
  <dcterms:created xsi:type="dcterms:W3CDTF">2015-02-03T10:39:10Z</dcterms:created>
  <dcterms:modified xsi:type="dcterms:W3CDTF">2020-08-22T11:22:19Z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