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800" yWindow="0" windowWidth="10632" windowHeight="11640" tabRatio="835" activeTab="0"/>
  </bookViews>
  <sheets>
    <sheet name="Deckblatt" sheetId="1" r:id="rId1"/>
    <sheet name="Statistik für Mehrfachbest." sheetId="2" r:id="rId2"/>
    <sheet name="Stat. Vergleichstabellen" sheetId="3" state="hidden" r:id="rId3"/>
    <sheet name="Bericht" sheetId="4" r:id="rId4"/>
  </sheets>
  <externalReferences>
    <externalReference r:id="rId7"/>
  </externalReferences>
  <definedNames>
    <definedName name="_xlnm.Print_Area" localSheetId="3">'Bericht'!$A$1:$M$147</definedName>
    <definedName name="_xlnm.Print_Area" localSheetId="1">'Statistik für Mehrfachbest.'!$A$1:$V$97</definedName>
    <definedName name="Informationswerte">#REF!</definedName>
    <definedName name="Konzentrationswerte">#REF!</definedName>
    <definedName name="MW">'Statistik für Mehrfachbest.'!$F$19</definedName>
    <definedName name="N">'Statistik für Mehrfachbest.'!$F$18</definedName>
    <definedName name="y_1">'[1]Allgemeines Beispiel'!#REF!</definedName>
    <definedName name="y_10">'[1]Allgemeines Beispiel'!#REF!</definedName>
    <definedName name="y_2">'[1]Allgemeines Beispiel'!#REF!</definedName>
    <definedName name="y_3">'[1]Allgemeines Beispiel'!#REF!</definedName>
    <definedName name="y_4">'[1]Allgemeines Beispiel'!#REF!</definedName>
    <definedName name="y_5">'[1]Allgemeines Beispiel'!#REF!</definedName>
    <definedName name="y_6">'[1]Allgemeines Beispiel'!#REF!</definedName>
    <definedName name="y_7">'[1]Allgemeines Beispiel'!#REF!</definedName>
    <definedName name="y_8">'[1]Allgemeines Beispiel'!#REF!</definedName>
    <definedName name="y_9">'[1]Allgemeines Beispiel'!#REF!</definedName>
  </definedNames>
  <calcPr fullCalcOnLoad="1"/>
</workbook>
</file>

<file path=xl/comments2.xml><?xml version="1.0" encoding="utf-8"?>
<comments xmlns="http://schemas.openxmlformats.org/spreadsheetml/2006/main">
  <authors>
    <author>Informationsverarbeitung</author>
    <author>WWT2-GC</author>
    <author>lalpers</author>
    <author>ich selbst</author>
  </authors>
  <commentList>
    <comment ref="L5" authorId="0">
      <text>
        <r>
          <rPr>
            <sz val="8"/>
            <rFont val="Tahoma"/>
            <family val="2"/>
          </rPr>
          <t>Erwartungswert bei Bedarf eingeben (NUR dann ist Sollwert-Ausreißertest relevant)</t>
        </r>
        <r>
          <rPr>
            <sz val="8"/>
            <rFont val="Tahoma"/>
            <family val="0"/>
          </rPr>
          <t xml:space="preserve">
</t>
        </r>
      </text>
    </comment>
    <comment ref="P7" authorId="0">
      <text>
        <r>
          <rPr>
            <sz val="8"/>
            <rFont val="Tahoma"/>
            <family val="2"/>
          </rPr>
          <t xml:space="preserve">Ausreißertest bezogen auf den </t>
        </r>
        <r>
          <rPr>
            <u val="single"/>
            <sz val="8"/>
            <rFont val="Tahoma"/>
            <family val="2"/>
          </rPr>
          <t>Mittelwert</t>
        </r>
        <r>
          <rPr>
            <sz val="8"/>
            <rFont val="Tahoma"/>
            <family val="2"/>
          </rPr>
          <t xml:space="preserve">
es sind mindestens 3 Meßwerte erforderlich!</t>
        </r>
        <r>
          <rPr>
            <sz val="8"/>
            <rFont val="Tahoma"/>
            <family val="0"/>
          </rPr>
          <t xml:space="preserve">
</t>
        </r>
      </text>
    </comment>
    <comment ref="Q7" authorId="0">
      <text>
        <r>
          <rPr>
            <sz val="8"/>
            <rFont val="Tahoma"/>
            <family val="2"/>
          </rPr>
          <t xml:space="preserve">Ausreißertest bezogen auf den </t>
        </r>
        <r>
          <rPr>
            <u val="single"/>
            <sz val="8"/>
            <rFont val="Tahoma"/>
            <family val="2"/>
          </rPr>
          <t>Sollwert</t>
        </r>
        <r>
          <rPr>
            <sz val="8"/>
            <rFont val="Tahoma"/>
            <family val="2"/>
          </rPr>
          <t xml:space="preserve">
es sind mindestens 3 Meßwerte erforderlich!</t>
        </r>
        <r>
          <rPr>
            <sz val="8"/>
            <rFont val="Tahoma"/>
            <family val="0"/>
          </rPr>
          <t xml:space="preserve">
</t>
        </r>
      </text>
    </comment>
    <comment ref="R33" authorId="0">
      <text>
        <r>
          <rPr>
            <b/>
            <u val="single"/>
            <sz val="8"/>
            <rFont val="Tahoma"/>
            <family val="2"/>
          </rPr>
          <t>Präzision, relativ zum Mittelwert</t>
        </r>
        <r>
          <rPr>
            <sz val="8"/>
            <rFont val="Tahoma"/>
            <family val="2"/>
          </rPr>
          <t xml:space="preserve">
je höher die rel. Präzision, desto geringer die Schwankung innerhalb der Messserie.</t>
        </r>
      </text>
    </comment>
    <comment ref="R45" authorId="1">
      <text>
        <r>
          <rPr>
            <sz val="8"/>
            <rFont val="Tahoma"/>
            <family val="2"/>
          </rPr>
          <t>Test auf Normalverteilung der Messwerte</t>
        </r>
      </text>
    </comment>
    <comment ref="R49" authorId="0">
      <text>
        <r>
          <rPr>
            <sz val="8"/>
            <rFont val="Tahoma"/>
            <family val="2"/>
          </rPr>
          <t>Prüft. ob ein signifikanter Unterschied zwischen dem erhaltenen Mittelwert der Datenreihe und dem vorgegebenen Sollwert besteht.</t>
        </r>
        <r>
          <rPr>
            <i/>
            <sz val="8"/>
            <rFont val="Tahoma"/>
            <family val="2"/>
          </rPr>
          <t xml:space="preserve">
Ist die Abweichung der Meßwerte (in Abhängigkeit von der erreichten Präzision) vom Sollwert zu hoch, dann deutet dieses auf einen systematischen Methodenfehler hin!</t>
        </r>
        <r>
          <rPr>
            <sz val="8"/>
            <rFont val="Tahoma"/>
            <family val="0"/>
          </rPr>
          <t xml:space="preserve">
</t>
        </r>
      </text>
    </comment>
    <comment ref="R23" authorId="2">
      <text>
        <r>
          <rPr>
            <b/>
            <sz val="8"/>
            <rFont val="Tahoma"/>
            <family val="0"/>
          </rPr>
          <t xml:space="preserve">"UNRICHTIGKEIT"
</t>
        </r>
        <r>
          <rPr>
            <sz val="8"/>
            <rFont val="Tahoma"/>
            <family val="2"/>
          </rPr>
          <t>des Mittelwertes.
Der Sollwert (auch "Erwartungswert" genannt) wird hierbei als der "wahre" Wert definiert.</t>
        </r>
      </text>
    </comment>
    <comment ref="R31" authorId="2">
      <text>
        <r>
          <rPr>
            <b/>
            <sz val="8"/>
            <rFont val="Tahoma"/>
            <family val="0"/>
          </rPr>
          <t xml:space="preserve">"UNPRÄZISION"
</t>
        </r>
        <r>
          <rPr>
            <sz val="8"/>
            <rFont val="Tahoma"/>
            <family val="2"/>
          </rPr>
          <t>des Mittelwertes zu den Einzelwerten.</t>
        </r>
        <r>
          <rPr>
            <sz val="4"/>
            <rFont val="Tahoma"/>
            <family val="2"/>
          </rPr>
          <t xml:space="preserve"> 
</t>
        </r>
        <r>
          <rPr>
            <sz val="8"/>
            <rFont val="Tahoma"/>
            <family val="2"/>
          </rPr>
          <t xml:space="preserve">
</t>
        </r>
        <r>
          <rPr>
            <i/>
            <sz val="8"/>
            <rFont val="Tahoma"/>
            <family val="2"/>
          </rPr>
          <t>Berechnet aus der Standardabweichung geteilt durch den Mittelwert. Angabe in Prozent.</t>
        </r>
      </text>
    </comment>
    <comment ref="R17" authorId="2">
      <text>
        <r>
          <rPr>
            <sz val="8"/>
            <rFont val="Tahoma"/>
            <family val="0"/>
          </rPr>
          <t xml:space="preserve">Die </t>
        </r>
        <r>
          <rPr>
            <b/>
            <sz val="8"/>
            <rFont val="Tahoma"/>
            <family val="2"/>
          </rPr>
          <t>Standardabweichung</t>
        </r>
        <r>
          <rPr>
            <sz val="8"/>
            <rFont val="Tahoma"/>
            <family val="0"/>
          </rPr>
          <t xml:space="preserve"> beschreibt die Streuung der Einzelmesswerte um den gemessenen Mittelwert.
Graphisch gesehen ist die Standardabweichung die Differenz zwischen dem Mittelwert aller Messwerte der Messserie und dem abgelesenen Messwert auf halber Höhe (Wendepunkt) der Verteilungskurve der Messserie. 
In diesem Intervall [-s bis +s] liegen bei Normalverteilung  68% aller Messwerte. Im Intervall [-2s bis +2s] liegen dann 95% und im Intervall [-3s bis +3s] liegen 99,7% aller Messwerte.
Die Standardabweichung stellt somit ein Maß für die Streuung der Messwerte um deren Mittelwert dar.
Basis der Werteverteilung ist hier die Normalverteilung
</t>
        </r>
      </text>
    </comment>
    <comment ref="R26" authorId="2">
      <text>
        <r>
          <rPr>
            <sz val="8"/>
            <rFont val="Tahoma"/>
            <family val="2"/>
          </rPr>
          <t>(oft mit: VBx  bezeichnet)</t>
        </r>
        <r>
          <rPr>
            <b/>
            <sz val="8"/>
            <rFont val="Tahoma"/>
            <family val="2"/>
          </rPr>
          <t xml:space="preserve">
VERTRAUENSBEREICH des Mittelwertes</t>
        </r>
        <r>
          <rPr>
            <sz val="8"/>
            <rFont val="Tahoma"/>
            <family val="2"/>
          </rPr>
          <t xml:space="preserve">
Der Vertrauensbereich gibt das Intervall an, in dem man mit bestimmter Wahrscheinlichkeit das "wahre" Messergebnis erwarten kann.
In der Mitte dieses Intervalls liegt hierbei der Mittelwert aller Messwerte.
Die Wahrscheinlichkeit wird prozentual angegeben. Dieser prozentuale Vorgabewert wird Signifikanzniveau, Wahrscheinlichkeitsniveau oder Vertrauensniveau genannt und trägt das Kürzel P.
Der Vertrauensbereich reicht von [– Txm bis +Txm]. In der Mitte zwischen ± Txm liegt der Mittelwert.
Rechnerisch entspricht Txm also genau dem halben Vertrauensbereich.
Txm = ± t * s / √n
</t>
        </r>
        <r>
          <rPr>
            <u val="single"/>
            <sz val="8"/>
            <rFont val="Tahoma"/>
            <family val="2"/>
          </rPr>
          <t xml:space="preserve">Basis ist hier die t-Verteilung!
</t>
        </r>
        <r>
          <rPr>
            <sz val="8"/>
            <rFont val="Tahoma"/>
            <family val="2"/>
          </rPr>
          <t>(welche bei genügend hohem N in die Normalverteilung über geht.</t>
        </r>
      </text>
    </comment>
    <comment ref="P3" authorId="2">
      <text>
        <r>
          <rPr>
            <sz val="8"/>
            <rFont val="Tahoma"/>
            <family val="2"/>
          </rPr>
          <t xml:space="preserve">Der Ausreißertest "sucht" nach Werten die sich signifikant (bei vorgegebenem Signifikanzniveau P) von den übrigen Werten der Werteschaar unterscheiden.
Bei unterstellter Normalverteilung dieser Werteschaar werden hierbei solche Werte als Ausreißer erkannt, die sich nicht mehr innerhalb des vorgegebenen Bereichs der Verteilungskurve befinden.
Für ein Signifikanzniveau von z.B. 95% bedeutet dies, dass ein Ausreißer "in den äußeren, jeweils 2,5%Bereichen der Verteilungskurve liegen muss. D.h. im Bereich von 0 bis &lt;2,5% oder im Bereich von &gt;97,5 bis 100% der Verteilungskurve.
Die Erklärung, warum mit steigendem Vertrauensniveau zunehmend weniger Werte als Ausreißer erkannt werden (und nicht, wie man evtl. vermuten könnte mehr) ist vereinfacht etwa Folgende:
Mit steigendem Vertrauensniveau steigt nicht etwa die Wahrscheinlichkeit, dass ein Ausreißer als ein solcher erkannt wird, sondern es steigt das Vertrauen in die ermittelten Werte. Somit vergrößert sich dann zwangsläufig der Akzeptanzbereich für Werte, welche eben noch nicht als Ausreißer abgelehnt werden!
</t>
        </r>
      </text>
    </comment>
    <comment ref="R20" authorId="3">
      <text>
        <r>
          <rPr>
            <sz val="8"/>
            <rFont val="Tahoma"/>
            <family val="2"/>
          </rPr>
          <t xml:space="preserve">Die maximal zu erwartende Differenz zwischen zwei unter Wiederholbedingungen gewonnenen Ermittlungsergebnissen, bei einem Wahrscheinlichkeitsniveau von </t>
        </r>
        <r>
          <rPr>
            <b/>
            <sz val="8"/>
            <rFont val="Tahoma"/>
            <family val="2"/>
          </rPr>
          <t>95 %</t>
        </r>
        <r>
          <rPr>
            <sz val="8"/>
            <rFont val="Tahoma"/>
            <family val="2"/>
          </rPr>
          <t xml:space="preserve">.
(Das benutzte Symbol ist </t>
        </r>
        <r>
          <rPr>
            <b/>
            <sz val="8"/>
            <rFont val="Tahoma"/>
            <family val="2"/>
          </rPr>
          <t>r</t>
        </r>
        <r>
          <rPr>
            <sz val="8"/>
            <rFont val="Tahoma"/>
            <family val="2"/>
          </rPr>
          <t xml:space="preserve">)
Die Wiederholgrenze </t>
        </r>
        <r>
          <rPr>
            <b/>
            <sz val="8"/>
            <rFont val="Tahoma"/>
            <family val="2"/>
          </rPr>
          <t>r</t>
        </r>
        <r>
          <rPr>
            <sz val="8"/>
            <rFont val="Tahoma"/>
            <family val="2"/>
          </rPr>
          <t xml:space="preserve"> kann aus der Standardabweichung S bzw. (bei lin. Regression) aus der Wiederholstandardabweichung Sy berechnet werden.
Für </t>
        </r>
        <r>
          <rPr>
            <b/>
            <sz val="8"/>
            <rFont val="Tahoma"/>
            <family val="2"/>
          </rPr>
          <t>r</t>
        </r>
        <r>
          <rPr>
            <sz val="8"/>
            <rFont val="Tahoma"/>
            <family val="2"/>
          </rPr>
          <t xml:space="preserve"> gilt gemäß DIN ISO 5725 [3]: Wiederholgrenze </t>
        </r>
        <r>
          <rPr>
            <b/>
            <sz val="8"/>
            <rFont val="Tahoma"/>
            <family val="2"/>
          </rPr>
          <t>r</t>
        </r>
        <r>
          <rPr>
            <sz val="8"/>
            <rFont val="Tahoma"/>
            <family val="2"/>
          </rPr>
          <t xml:space="preserve"> = 2,77 S(y)</t>
        </r>
      </text>
    </comment>
    <comment ref="R14" authorId="2">
      <text>
        <r>
          <rPr>
            <sz val="8"/>
            <rFont val="Tahoma"/>
            <family val="0"/>
          </rPr>
          <t xml:space="preserve">Der </t>
        </r>
        <r>
          <rPr>
            <b/>
            <sz val="8"/>
            <rFont val="Tahoma"/>
            <family val="2"/>
          </rPr>
          <t>Mittelwert</t>
        </r>
        <r>
          <rPr>
            <sz val="8"/>
            <rFont val="Tahoma"/>
            <family val="0"/>
          </rPr>
          <t xml:space="preserve"> ("das arithmetische Mittel") einer Messserie wird berechnet durch Summieren aller Messwerte und Teilung dieser Summe durch die Anzahl der Messwerte.
Der Mittelwert entspricht dem Maximum der Verteilungskurve aller zugrunde liegenden Einzelwerte.</t>
        </r>
      </text>
    </comment>
    <comment ref="U2" authorId="2">
      <text>
        <r>
          <rPr>
            <b/>
            <sz val="8"/>
            <rFont val="Tahoma"/>
            <family val="0"/>
          </rPr>
          <t>lalpers:</t>
        </r>
        <r>
          <rPr>
            <sz val="8"/>
            <rFont val="Tahoma"/>
            <family val="0"/>
          </rPr>
          <t xml:space="preserve">
Änderung am 31.08.06:
Berechnung der Anzahl eliminierter Ausreißer eingefügt.
</t>
        </r>
        <r>
          <rPr>
            <i/>
            <sz val="8"/>
            <rFont val="Tahoma"/>
            <family val="2"/>
          </rPr>
          <t xml:space="preserve">L. Alpers
</t>
        </r>
        <r>
          <rPr>
            <sz val="8"/>
            <rFont val="Tahoma"/>
            <family val="2"/>
          </rPr>
          <t xml:space="preserve">Änderung am 07.05.07:
Hinweis ("Wolke") eingefügt.
</t>
        </r>
        <r>
          <rPr>
            <i/>
            <sz val="8"/>
            <rFont val="Tahoma"/>
            <family val="2"/>
          </rPr>
          <t xml:space="preserve">L. Alpers
</t>
        </r>
        <r>
          <rPr>
            <sz val="8"/>
            <rFont val="Tahoma"/>
            <family val="2"/>
          </rPr>
          <t xml:space="preserve">
Revision 1
Änderung am 24.11.2010:
Keine! Nur Validierung mittels Testdatensatz
</t>
        </r>
        <r>
          <rPr>
            <i/>
            <sz val="8"/>
            <rFont val="Tahoma"/>
            <family val="2"/>
          </rPr>
          <t>L. Alpers</t>
        </r>
        <r>
          <rPr>
            <sz val="8"/>
            <rFont val="Tahoma"/>
            <family val="2"/>
          </rPr>
          <t xml:space="preserve">
Änderung am 18.05.2017:
Die angewendeten, tabellierten kritischen Schranken für die Durchführung des Grubbs-Tests wurden gegen eine validierte Gleichung ersetzt, die die zutreffenden kritischen Schranken berechnet.
</t>
        </r>
        <r>
          <rPr>
            <i/>
            <sz val="8"/>
            <rFont val="Tahoma"/>
            <family val="2"/>
          </rPr>
          <t>L. Alpers</t>
        </r>
      </text>
    </comment>
  </commentList>
</comments>
</file>

<file path=xl/comments3.xml><?xml version="1.0" encoding="utf-8"?>
<comments xmlns="http://schemas.openxmlformats.org/spreadsheetml/2006/main">
  <authors>
    <author>Informationsverarbeitung</author>
    <author>Lars Alpers</author>
    <author>Lars</author>
  </authors>
  <commentList>
    <comment ref="A2" authorId="0">
      <text>
        <r>
          <rPr>
            <sz val="8"/>
            <rFont val="Tahoma"/>
            <family val="2"/>
          </rPr>
          <t>"Freiheitsgrad"</t>
        </r>
        <r>
          <rPr>
            <sz val="8"/>
            <rFont val="Tahoma"/>
            <family val="0"/>
          </rPr>
          <t xml:space="preserve">
f = n-2</t>
        </r>
      </text>
    </comment>
    <comment ref="F2" authorId="0">
      <text>
        <r>
          <rPr>
            <sz val="8"/>
            <rFont val="Tahoma"/>
            <family val="2"/>
          </rPr>
          <t>Anzahl der Meßwerte</t>
        </r>
        <r>
          <rPr>
            <sz val="8"/>
            <rFont val="Tahoma"/>
            <family val="0"/>
          </rPr>
          <t xml:space="preserve">
</t>
        </r>
      </text>
    </comment>
    <comment ref="U2" authorId="0">
      <text>
        <r>
          <rPr>
            <sz val="8"/>
            <rFont val="Tahoma"/>
            <family val="2"/>
          </rPr>
          <t>Anzahl der Meßwerte</t>
        </r>
        <r>
          <rPr>
            <sz val="8"/>
            <rFont val="Tahoma"/>
            <family val="0"/>
          </rPr>
          <t xml:space="preserve">
</t>
        </r>
      </text>
    </comment>
    <comment ref="L38" authorId="1">
      <text>
        <r>
          <rPr>
            <sz val="8"/>
            <rFont val="Tahoma"/>
            <family val="2"/>
          </rPr>
          <t>wichtiger Eintrag für den Ausreißertest!</t>
        </r>
      </text>
    </comment>
    <comment ref="L37" authorId="1">
      <text>
        <r>
          <rPr>
            <sz val="8"/>
            <rFont val="Tahoma"/>
            <family val="2"/>
          </rPr>
          <t>wichtiger Eintrag für den Ausreißertest!</t>
        </r>
        <r>
          <rPr>
            <sz val="8"/>
            <rFont val="Tahoma"/>
            <family val="0"/>
          </rPr>
          <t xml:space="preserve">
</t>
        </r>
      </text>
    </comment>
    <comment ref="F1" authorId="2">
      <text>
        <r>
          <rPr>
            <b/>
            <sz val="9"/>
            <rFont val="Tahoma"/>
            <family val="0"/>
          </rPr>
          <t>Lars:</t>
        </r>
        <r>
          <rPr>
            <sz val="9"/>
            <rFont val="Tahoma"/>
            <family val="0"/>
          </rPr>
          <t xml:space="preserve">
Die Richtigkeit der Gleichung zur Berechnung der rm-Werte wurde geprüft gegen Tabellenwerte aus der Fachliteratur, verschiedenen Normen, http://www.statistics4u.info/fundstat_germ/ee_grubbs_outliertest.html und berechnete Werte auf https://www.mm-stat.org/index.php/Grubbs-Test.</t>
        </r>
      </text>
    </comment>
    <comment ref="A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K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R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U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List>
</comments>
</file>

<file path=xl/sharedStrings.xml><?xml version="1.0" encoding="utf-8"?>
<sst xmlns="http://schemas.openxmlformats.org/spreadsheetml/2006/main" count="161" uniqueCount="137">
  <si>
    <t>P=95%</t>
  </si>
  <si>
    <t>P=99%</t>
  </si>
  <si>
    <t>P=99,9%</t>
  </si>
  <si>
    <t>¥</t>
  </si>
  <si>
    <t>Anzahl Messwerte</t>
  </si>
  <si>
    <r>
      <t>S</t>
    </r>
    <r>
      <rPr>
        <vertAlign val="subscript"/>
        <sz val="10"/>
        <rFont val="Arial"/>
        <family val="2"/>
      </rPr>
      <t>X</t>
    </r>
  </si>
  <si>
    <t>Mittelwert</t>
  </si>
  <si>
    <t>Statistik für Mehrfachbestimmungen</t>
  </si>
  <si>
    <r>
      <t>Ausreißertest-Tabelle (r</t>
    </r>
    <r>
      <rPr>
        <b/>
        <vertAlign val="subscript"/>
        <sz val="12"/>
        <rFont val="Arial"/>
        <family val="2"/>
      </rPr>
      <t>m</t>
    </r>
    <r>
      <rPr>
        <b/>
        <sz val="12"/>
        <rFont val="Arial"/>
        <family val="2"/>
      </rPr>
      <t>)</t>
    </r>
  </si>
  <si>
    <t>N</t>
  </si>
  <si>
    <t>P=90%</t>
  </si>
  <si>
    <t>Sollwert:</t>
  </si>
  <si>
    <r>
      <t>f</t>
    </r>
    <r>
      <rPr>
        <vertAlign val="subscript"/>
        <sz val="12"/>
        <rFont val="Arial"/>
        <family val="2"/>
      </rPr>
      <t>2</t>
    </r>
  </si>
  <si>
    <r>
      <t>f</t>
    </r>
    <r>
      <rPr>
        <vertAlign val="subscript"/>
        <sz val="10"/>
        <rFont val="Arial"/>
        <family val="2"/>
      </rPr>
      <t>1</t>
    </r>
    <r>
      <rPr>
        <sz val="10"/>
        <rFont val="Arial"/>
        <family val="2"/>
      </rPr>
      <t>=1</t>
    </r>
  </si>
  <si>
    <t>Variationskoeffizient:</t>
  </si>
  <si>
    <t>f =</t>
  </si>
  <si>
    <t>%</t>
  </si>
  <si>
    <t>Student t-Tabelle   (2-Seitig!)</t>
  </si>
  <si>
    <t>PG=</t>
  </si>
  <si>
    <t>Ergebnisangabe:</t>
  </si>
  <si>
    <r>
      <t>x</t>
    </r>
    <r>
      <rPr>
        <vertAlign val="subscript"/>
        <sz val="10"/>
        <rFont val="Arial"/>
        <family val="2"/>
      </rPr>
      <t>m</t>
    </r>
  </si>
  <si>
    <t>gewünschte Anzahl an Nachkommastellen</t>
  </si>
  <si>
    <t>in der Ergebnisangabe:</t>
  </si>
  <si>
    <t>Signifikanzschranken für Davidtest</t>
  </si>
  <si>
    <t>U-Grenze</t>
  </si>
  <si>
    <t>O-Grenze</t>
  </si>
  <si>
    <t xml:space="preserve">     -&gt; untere Grenze:</t>
  </si>
  <si>
    <t xml:space="preserve">     -&gt; obere Grenze:</t>
  </si>
  <si>
    <t>UG=</t>
  </si>
  <si>
    <t>OG=</t>
  </si>
  <si>
    <t>MW</t>
  </si>
  <si>
    <t>Werte</t>
  </si>
  <si>
    <t>eingeben</t>
  </si>
  <si>
    <t>maßanalytische Einheit:</t>
  </si>
  <si>
    <t>(xi-x(i+1))^2</t>
  </si>
  <si>
    <t>Neumann-Trendtest</t>
  </si>
  <si>
    <t xml:space="preserve">N </t>
  </si>
  <si>
    <t>VG=</t>
  </si>
  <si>
    <t>d</t>
  </si>
  <si>
    <t>Standardabweichung</t>
  </si>
  <si>
    <r>
      <t>(P=</t>
    </r>
    <r>
      <rPr>
        <b/>
        <sz val="9"/>
        <color indexed="16"/>
        <rFont val="Arial"/>
        <family val="2"/>
      </rPr>
      <t>99%</t>
    </r>
    <r>
      <rPr>
        <sz val="9"/>
        <rFont val="Arial"/>
        <family val="2"/>
      </rPr>
      <t>)</t>
    </r>
  </si>
  <si>
    <r>
      <t>T</t>
    </r>
    <r>
      <rPr>
        <vertAlign val="subscript"/>
        <sz val="10"/>
        <rFont val="Arial"/>
        <family val="2"/>
      </rPr>
      <t>Xm</t>
    </r>
    <r>
      <rPr>
        <sz val="10"/>
        <rFont val="Arial"/>
        <family val="2"/>
      </rPr>
      <t xml:space="preserve">   ±</t>
    </r>
  </si>
  <si>
    <t>Unsicherheit</t>
  </si>
  <si>
    <t xml:space="preserve"> =&gt;  rel. Präzision %</t>
  </si>
  <si>
    <t xml:space="preserve"> </t>
  </si>
  <si>
    <t>Vertrauensbereich</t>
  </si>
  <si>
    <t>MW+Txm</t>
  </si>
  <si>
    <t>MW-Txm</t>
  </si>
  <si>
    <t>MW+2Sx</t>
  </si>
  <si>
    <t>MW-2Sx</t>
  </si>
  <si>
    <t>diese</t>
  </si>
  <si>
    <t>Zellen</t>
  </si>
  <si>
    <t>Für Verlässlichkeit der folgenden Tests, sollte die Werteschaar ausreißerfrei sein!!</t>
  </si>
  <si>
    <r>
      <t xml:space="preserve"> </t>
    </r>
    <r>
      <rPr>
        <b/>
        <u val="single"/>
        <sz val="10"/>
        <color indexed="10"/>
        <rFont val="Arial"/>
        <family val="0"/>
      </rPr>
      <t>NICHT</t>
    </r>
    <r>
      <rPr>
        <sz val="10"/>
        <color indexed="10"/>
        <rFont val="Arial"/>
        <family val="0"/>
      </rPr>
      <t xml:space="preserve"> löschen!!!</t>
    </r>
  </si>
  <si>
    <t>Txm=</t>
  </si>
  <si>
    <t>STABW=</t>
  </si>
  <si>
    <t>(-&gt; Vertrauensbereich)</t>
  </si>
  <si>
    <t>Mittelwert der Messwerte</t>
  </si>
  <si>
    <t xml:space="preserve"> -&gt; Median</t>
  </si>
  <si>
    <t>entspricht einem</t>
  </si>
  <si>
    <r>
      <t>Neumann-</t>
    </r>
    <r>
      <rPr>
        <b/>
        <sz val="10"/>
        <rFont val="Arial"/>
        <family val="0"/>
      </rPr>
      <t>TRENDTEST</t>
    </r>
    <r>
      <rPr>
        <sz val="10"/>
        <rFont val="Arial"/>
        <family val="0"/>
      </rPr>
      <t>:</t>
    </r>
  </si>
  <si>
    <t>(wenn nötig -&gt; verschieben!)</t>
  </si>
  <si>
    <t>Revision:</t>
  </si>
  <si>
    <t>Wertetabelle</t>
  </si>
  <si>
    <t>Bestimmung von:</t>
  </si>
  <si>
    <t>Matrix:</t>
  </si>
  <si>
    <t>Bearbeitender:</t>
  </si>
  <si>
    <t>Anmerkungen:</t>
  </si>
  <si>
    <t>Einheit der Konzentrationswerte:</t>
  </si>
  <si>
    <t>Name</t>
  </si>
  <si>
    <t>Datum</t>
  </si>
  <si>
    <t>Unterschrift</t>
  </si>
  <si>
    <t>Grundangaben für die Kenndatenermittlung:</t>
  </si>
  <si>
    <t>freigegeben,   LL</t>
  </si>
  <si>
    <t>geprüft,   QMB</t>
  </si>
  <si>
    <t>Untersuchung</t>
  </si>
  <si>
    <t>Ausreißer</t>
  </si>
  <si>
    <t>M</t>
  </si>
  <si>
    <t>S</t>
  </si>
  <si>
    <t>ermittelte</t>
  </si>
  <si>
    <t>Messwerte</t>
  </si>
  <si>
    <t xml:space="preserve">Erstellt am: </t>
  </si>
  <si>
    <t>UNTERSUCHUNGSBERICHT</t>
  </si>
  <si>
    <t>Ermittelte Kenndaten der Messreihe</t>
  </si>
  <si>
    <t>Maßzahl für die Wiederholbarkeit  =&gt; (100% - Variationskoeffizient%)</t>
  </si>
  <si>
    <t>von:</t>
  </si>
  <si>
    <t>bis:</t>
  </si>
  <si>
    <t>Statistische Tests</t>
  </si>
  <si>
    <t>Zur Erhöhung der Aussagekraft der Tests sollten die erkannten Ausreißer zuvor eliminiert worden sein!</t>
  </si>
  <si>
    <t>Gegebenenfalls ist es sinnvoll je einen Ergebnisbericht mit - und einen ohne Berücksichtigung der Ausreißer zu erstellen!</t>
  </si>
  <si>
    <t>Testergebnis:</t>
  </si>
  <si>
    <t>Graphische Darstellung der Messwerte mit Vertrauensgrenzen und 2S-Intervall</t>
  </si>
  <si>
    <r>
      <t xml:space="preserve">                und bei "Typ S" gegen den Sollwert geprüft. </t>
    </r>
    <r>
      <rPr>
        <b/>
        <i/>
        <sz val="7"/>
        <rFont val="Arial"/>
        <family val="2"/>
      </rPr>
      <t xml:space="preserve"> Ausreißer werden jeweils durch ein rotes Kreuz markiert!</t>
    </r>
  </si>
  <si>
    <t>ausgewertet von</t>
  </si>
  <si>
    <t>in der Statistik</t>
  </si>
  <si>
    <r>
      <t xml:space="preserve"> =&gt;  x</t>
    </r>
    <r>
      <rPr>
        <vertAlign val="subscript"/>
        <sz val="10"/>
        <rFont val="Arial"/>
        <family val="2"/>
      </rPr>
      <t>m</t>
    </r>
    <r>
      <rPr>
        <sz val="10"/>
        <rFont val="Arial"/>
        <family val="2"/>
      </rPr>
      <t xml:space="preserve"> ±T</t>
    </r>
    <r>
      <rPr>
        <vertAlign val="subscript"/>
        <sz val="10"/>
        <rFont val="Arial"/>
        <family val="2"/>
      </rPr>
      <t>xm</t>
    </r>
    <r>
      <rPr>
        <sz val="10"/>
        <rFont val="Arial"/>
        <family val="2"/>
      </rPr>
      <t xml:space="preserve"> [EINHEIT] (±S</t>
    </r>
    <r>
      <rPr>
        <vertAlign val="subscript"/>
        <sz val="10"/>
        <rFont val="Arial"/>
        <family val="2"/>
      </rPr>
      <t>x</t>
    </r>
    <r>
      <rPr>
        <sz val="10"/>
        <rFont val="Arial"/>
        <family val="2"/>
      </rPr>
      <t>; P%; n)</t>
    </r>
  </si>
  <si>
    <t>Berichts-Nummer, bzw. ID-Code:</t>
  </si>
  <si>
    <t>Vollständige Angabe des Analysenergebnisses, basierend auf der Messreihe</t>
  </si>
  <si>
    <t xml:space="preserve">                eliminierte Ausreißer werden in roter Schrift, durchgestrichen und hellgelb hinterlegt dargestellt.</t>
  </si>
  <si>
    <t>des Analysenergebnisses</t>
  </si>
  <si>
    <t>Einzelwerte</t>
  </si>
  <si>
    <t>Sollwert</t>
  </si>
  <si>
    <r>
      <t>David-Test:</t>
    </r>
    <r>
      <rPr>
        <b/>
        <sz val="8"/>
        <rFont val="Arial"/>
        <family val="0"/>
      </rPr>
      <t xml:space="preserve"> (P=</t>
    </r>
    <r>
      <rPr>
        <b/>
        <sz val="8"/>
        <color indexed="16"/>
        <rFont val="Arial"/>
        <family val="0"/>
      </rPr>
      <t>99%</t>
    </r>
    <r>
      <rPr>
        <b/>
        <sz val="8"/>
        <rFont val="Arial"/>
        <family val="0"/>
      </rPr>
      <t>)</t>
    </r>
  </si>
  <si>
    <t>Übereinstimmung mit den Tabellenwerten</t>
  </si>
  <si>
    <t>nur bis auf 2 Stellen nach dem Komma!</t>
  </si>
  <si>
    <r>
      <t xml:space="preserve">F-Tabelle für </t>
    </r>
    <r>
      <rPr>
        <b/>
        <sz val="12"/>
        <color indexed="10"/>
        <rFont val="Arial"/>
        <family val="2"/>
      </rPr>
      <t>P=95%</t>
    </r>
  </si>
  <si>
    <r>
      <t>N</t>
    </r>
    <r>
      <rPr>
        <sz val="8"/>
        <rFont val="Arial"/>
        <family val="2"/>
      </rPr>
      <t xml:space="preserve"> (</t>
    </r>
    <r>
      <rPr>
        <b/>
        <sz val="8"/>
        <color indexed="10"/>
        <rFont val="Arial"/>
        <family val="2"/>
      </rPr>
      <t>P=99%</t>
    </r>
    <r>
      <rPr>
        <sz val="8"/>
        <rFont val="Arial"/>
        <family val="2"/>
      </rPr>
      <t>)</t>
    </r>
  </si>
  <si>
    <t>("unabhängig" von N)</t>
  </si>
  <si>
    <t>Vertrauensniveau (P):</t>
  </si>
  <si>
    <r>
      <t>Wiederholgrenze (</t>
    </r>
    <r>
      <rPr>
        <b/>
        <i/>
        <sz val="10"/>
        <rFont val="Arial"/>
        <family val="2"/>
      </rPr>
      <t>P=95%</t>
    </r>
    <r>
      <rPr>
        <b/>
        <sz val="10"/>
        <rFont val="Arial"/>
        <family val="2"/>
      </rPr>
      <t>)</t>
    </r>
  </si>
  <si>
    <t>r</t>
  </si>
  <si>
    <r>
      <t>3*S</t>
    </r>
    <r>
      <rPr>
        <vertAlign val="subscript"/>
        <sz val="10"/>
        <rFont val="Arial"/>
        <family val="2"/>
      </rPr>
      <t>X</t>
    </r>
  </si>
  <si>
    <r>
      <t>3*S</t>
    </r>
    <r>
      <rPr>
        <vertAlign val="subscript"/>
        <sz val="10"/>
        <rFont val="Arial"/>
        <family val="2"/>
      </rPr>
      <t xml:space="preserve">X </t>
    </r>
    <r>
      <rPr>
        <sz val="10"/>
        <rFont val="Arial"/>
        <family val="2"/>
      </rPr>
      <t xml:space="preserve"> ±</t>
    </r>
  </si>
  <si>
    <t>±</t>
  </si>
  <si>
    <t>Sollwert T-Test (zweiseitig):</t>
  </si>
  <si>
    <t xml:space="preserve"> (DIN ISO 5725)</t>
  </si>
  <si>
    <t>(Wiederholstandardabweichung)</t>
  </si>
  <si>
    <t>(-&gt; Wiederholpräzision)</t>
  </si>
  <si>
    <t>Streubreite der Messserie</t>
  </si>
  <si>
    <t>RSD%</t>
  </si>
  <si>
    <t>ID-Code des Prüfverfahrens:</t>
  </si>
  <si>
    <t>Differenz zum Mittelwert</t>
  </si>
  <si>
    <t>eliminierte Ausreißer zählen</t>
  </si>
  <si>
    <t>Anzahl eliminierter Ausreißer</t>
  </si>
  <si>
    <t>Bemerkungen</t>
  </si>
  <si>
    <t>Bemerkung</t>
  </si>
  <si>
    <r>
      <t>Anm.:</t>
    </r>
    <r>
      <rPr>
        <i/>
        <sz val="7"/>
        <rFont val="Arial"/>
        <family val="2"/>
      </rPr>
      <t xml:space="preserve"> Beim Ausreißertest (nach Grubbs) wird bei "Typ M" wird gegen den Mittelwert aller Messwerte</t>
    </r>
  </si>
  <si>
    <t>Grubbs-Ausreißertests</t>
  </si>
  <si>
    <t xml:space="preserve">Sollwert:  </t>
  </si>
  <si>
    <r>
      <t>NOCH FRAGEN?</t>
    </r>
    <r>
      <rPr>
        <sz val="6"/>
        <rFont val="Arial"/>
        <family val="2"/>
      </rPr>
      <t xml:space="preserve"> </t>
    </r>
    <r>
      <rPr>
        <sz val="7"/>
        <rFont val="Arial"/>
        <family val="2"/>
      </rPr>
      <t>lars.alpers@gmx.de</t>
    </r>
  </si>
  <si>
    <t>LA Toolsammlung</t>
  </si>
  <si>
    <t>lars-alpers@gmx.de</t>
  </si>
  <si>
    <t>Mehrfachbestimmungskenndaten</t>
  </si>
  <si>
    <t>(Ein Tool zur Ermittlung der statistischen Kenndaten von Mehrfachbestimmungen)</t>
  </si>
  <si>
    <t>Zudem werden ein Ausreißertest, ein Trendtest, ein Normalverteilungstest, sowie, gegebenenfalls, ein Sollwert-T-Test durchgeführt.</t>
  </si>
  <si>
    <t>2</t>
  </si>
  <si>
    <t>STAND: 18.05.2017</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</si>
</sst>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0.000"/>
    <numFmt numFmtId="170" formatCode="0.000000"/>
    <numFmt numFmtId="171" formatCode="0.0"/>
    <numFmt numFmtId="172" formatCode="0.00000000"/>
    <numFmt numFmtId="173" formatCode="&quot;± &quot;General"/>
    <numFmt numFmtId="174" formatCode="0.0000E+00"/>
    <numFmt numFmtId="175" formatCode="&quot;+ &quot;General;&quot;- &quot;General;&quot;+ &quot;General"/>
    <numFmt numFmtId="176" formatCode="&quot;y= &quot;General"/>
    <numFmt numFmtId="177" formatCode="0.000E+00"/>
    <numFmt numFmtId="178" formatCode="&quot;± &quot;0.000&quot; %&quot;"/>
    <numFmt numFmtId="179" formatCode="&quot;± &quot;0.000E+00"/>
    <numFmt numFmtId="180" formatCode="&quot;+ &quot;0.000E+00;&quot;- &quot;0.0000E+00;&quot;+ &quot;0.000E+00"/>
    <numFmt numFmtId="181" formatCode="General&quot; %&quot;"/>
    <numFmt numFmtId="182" formatCode="&quot;  &quot;0.000E+00"/>
    <numFmt numFmtId="183" formatCode="0.000&quot; %&quot;"/>
    <numFmt numFmtId="184" formatCode="&quot; &quot;0.0000E+00"/>
    <numFmt numFmtId="185" formatCode="&quot;± &quot;0&quot;%&quot;"/>
    <numFmt numFmtId="186" formatCode="&quot;  &quot;0.00&quot; %&quot;"/>
    <numFmt numFmtId="187" formatCode="&quot; &quot;0.000E+00"/>
    <numFmt numFmtId="188" formatCode="General&quot;  &quot;"/>
    <numFmt numFmtId="189" formatCode="General&quot;     &quot;"/>
    <numFmt numFmtId="190" formatCode="0.0000000000"/>
    <numFmt numFmtId="191" formatCode="0.0000000"/>
    <numFmt numFmtId="192" formatCode="0.00000"/>
    <numFmt numFmtId="193" formatCode="&quot;--&gt;  ± &quot;0&quot; %&quot;"/>
    <numFmt numFmtId="194" formatCode="#,##0\ &quot;DM&quot;;\-#,##0\ &quot;DM&quot;"/>
    <numFmt numFmtId="195" formatCode="#,##0\ &quot;DM&quot;;[Red]\-#,##0\ &quot;DM&quot;"/>
    <numFmt numFmtId="196" formatCode="#,##0.00\ &quot;DM&quot;;\-#,##0.00\ &quot;DM&quot;"/>
    <numFmt numFmtId="197" formatCode="#,##0.00\ &quot;DM&quot;;[Red]\-#,##0.00\ &quot;DM&quot;"/>
    <numFmt numFmtId="198" formatCode="0.000%"/>
    <numFmt numFmtId="199" formatCode="0.0%"/>
    <numFmt numFmtId="200" formatCode="\+\-0.0%"/>
    <numFmt numFmtId="201" formatCode="\±\ 0.0%"/>
    <numFmt numFmtId="202" formatCode="General&quot; &quot;"/>
    <numFmt numFmtId="203" formatCode="&quot;Ja&quot;;&quot;Ja&quot;;&quot;Nein&quot;"/>
    <numFmt numFmtId="204" formatCode="&quot;Wahr&quot;;&quot;Wahr&quot;;&quot;Falsch&quot;"/>
    <numFmt numFmtId="205" formatCode="&quot;Ein&quot;;&quot;Ein&quot;;&quot;Aus&quot;"/>
    <numFmt numFmtId="206" formatCode="[$€-2]\ #,##0.00_);[Red]\([$€-2]\ #,##0.00\)"/>
  </numFmts>
  <fonts count="127">
    <font>
      <sz val="10"/>
      <name val="Arial"/>
      <family val="0"/>
    </font>
    <font>
      <b/>
      <sz val="10"/>
      <name val="Arial"/>
      <family val="2"/>
    </font>
    <font>
      <b/>
      <sz val="12"/>
      <name val="Arial"/>
      <family val="2"/>
    </font>
    <font>
      <sz val="8"/>
      <name val="Tahoma"/>
      <family val="0"/>
    </font>
    <font>
      <sz val="8"/>
      <name val="Arial"/>
      <family val="2"/>
    </font>
    <font>
      <vertAlign val="subscript"/>
      <sz val="10"/>
      <name val="Arial"/>
      <family val="2"/>
    </font>
    <font>
      <sz val="10"/>
      <name val="Symbol"/>
      <family val="1"/>
    </font>
    <font>
      <b/>
      <u val="single"/>
      <sz val="10"/>
      <name val="Arial"/>
      <family val="2"/>
    </font>
    <font>
      <b/>
      <sz val="12"/>
      <color indexed="12"/>
      <name val="Arial"/>
      <family val="2"/>
    </font>
    <font>
      <b/>
      <vertAlign val="subscript"/>
      <sz val="12"/>
      <name val="Arial"/>
      <family val="2"/>
    </font>
    <font>
      <b/>
      <sz val="8"/>
      <name val="Arial"/>
      <family val="2"/>
    </font>
    <font>
      <b/>
      <sz val="16"/>
      <color indexed="12"/>
      <name val="Arial"/>
      <family val="2"/>
    </font>
    <font>
      <sz val="12"/>
      <name val="Wingdings"/>
      <family val="0"/>
    </font>
    <font>
      <vertAlign val="subscript"/>
      <sz val="12"/>
      <name val="Arial"/>
      <family val="2"/>
    </font>
    <font>
      <sz val="12"/>
      <name val="Symbol"/>
      <family val="1"/>
    </font>
    <font>
      <sz val="7"/>
      <color indexed="10"/>
      <name val="Arial"/>
      <family val="2"/>
    </font>
    <font>
      <b/>
      <sz val="8"/>
      <color indexed="50"/>
      <name val="Arial"/>
      <family val="2"/>
    </font>
    <font>
      <b/>
      <sz val="8"/>
      <name val="Tahoma"/>
      <family val="0"/>
    </font>
    <font>
      <b/>
      <sz val="11"/>
      <color indexed="12"/>
      <name val="Arial"/>
      <family val="2"/>
    </font>
    <font>
      <b/>
      <sz val="10"/>
      <color indexed="10"/>
      <name val="Arial"/>
      <family val="2"/>
    </font>
    <font>
      <sz val="8"/>
      <color indexed="23"/>
      <name val="Arial"/>
      <family val="2"/>
    </font>
    <font>
      <u val="single"/>
      <sz val="10"/>
      <name val="Arial"/>
      <family val="2"/>
    </font>
    <font>
      <b/>
      <sz val="10"/>
      <color indexed="12"/>
      <name val="Arial"/>
      <family val="2"/>
    </font>
    <font>
      <b/>
      <u val="single"/>
      <sz val="10"/>
      <color indexed="12"/>
      <name val="Arial"/>
      <family val="2"/>
    </font>
    <font>
      <sz val="6"/>
      <color indexed="55"/>
      <name val="Arial"/>
      <family val="2"/>
    </font>
    <font>
      <b/>
      <u val="single"/>
      <sz val="14"/>
      <name val="Arial"/>
      <family val="2"/>
    </font>
    <font>
      <sz val="6"/>
      <name val="Arial"/>
      <family val="2"/>
    </font>
    <font>
      <sz val="9"/>
      <color indexed="12"/>
      <name val="Arial"/>
      <family val="2"/>
    </font>
    <font>
      <sz val="9"/>
      <name val="Arial"/>
      <family val="2"/>
    </font>
    <font>
      <sz val="10"/>
      <color indexed="20"/>
      <name val="Arial"/>
      <family val="2"/>
    </font>
    <font>
      <b/>
      <sz val="10"/>
      <color indexed="16"/>
      <name val="Arial"/>
      <family val="2"/>
    </font>
    <font>
      <b/>
      <sz val="10"/>
      <color indexed="17"/>
      <name val="Arial"/>
      <family val="2"/>
    </font>
    <font>
      <b/>
      <u val="single"/>
      <sz val="8"/>
      <name val="Tahoma"/>
      <family val="2"/>
    </font>
    <font>
      <u val="single"/>
      <sz val="8"/>
      <name val="Tahoma"/>
      <family val="2"/>
    </font>
    <font>
      <i/>
      <sz val="8"/>
      <name val="Tahoma"/>
      <family val="2"/>
    </font>
    <font>
      <b/>
      <u val="single"/>
      <sz val="10"/>
      <color indexed="16"/>
      <name val="Arial"/>
      <family val="2"/>
    </font>
    <font>
      <sz val="8"/>
      <color indexed="12"/>
      <name val="Arial"/>
      <family val="2"/>
    </font>
    <font>
      <sz val="10"/>
      <color indexed="16"/>
      <name val="Arial"/>
      <family val="2"/>
    </font>
    <font>
      <sz val="8"/>
      <color indexed="16"/>
      <name val="Arial"/>
      <family val="2"/>
    </font>
    <font>
      <b/>
      <sz val="9"/>
      <name val="Arial"/>
      <family val="2"/>
    </font>
    <font>
      <u val="single"/>
      <sz val="10"/>
      <color indexed="36"/>
      <name val="Arial"/>
      <family val="0"/>
    </font>
    <font>
      <u val="single"/>
      <sz val="10"/>
      <color indexed="12"/>
      <name val="Arial"/>
      <family val="0"/>
    </font>
    <font>
      <sz val="1"/>
      <name val="Arial"/>
      <family val="0"/>
    </font>
    <font>
      <sz val="1.75"/>
      <name val="Arial"/>
      <family val="2"/>
    </font>
    <font>
      <vertAlign val="superscript"/>
      <sz val="1.75"/>
      <name val="Arial"/>
      <family val="2"/>
    </font>
    <font>
      <b/>
      <u val="single"/>
      <sz val="1.5"/>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sz val="5"/>
      <name val="Arial"/>
      <family val="2"/>
    </font>
    <font>
      <b/>
      <sz val="9"/>
      <color indexed="16"/>
      <name val="Arial"/>
      <family val="2"/>
    </font>
    <font>
      <sz val="6"/>
      <color indexed="48"/>
      <name val="Arial"/>
      <family val="0"/>
    </font>
    <font>
      <sz val="7"/>
      <name val="Arial"/>
      <family val="2"/>
    </font>
    <font>
      <u val="single"/>
      <sz val="8"/>
      <color indexed="12"/>
      <name val="Arial"/>
      <family val="2"/>
    </font>
    <font>
      <b/>
      <sz val="8.5"/>
      <name val="Arial"/>
      <family val="2"/>
    </font>
    <font>
      <b/>
      <u val="single"/>
      <sz val="16"/>
      <color indexed="12"/>
      <name val="Arial"/>
      <family val="2"/>
    </font>
    <font>
      <sz val="10"/>
      <color indexed="10"/>
      <name val="Arial"/>
      <family val="0"/>
    </font>
    <font>
      <sz val="10"/>
      <color indexed="23"/>
      <name val="Arial"/>
      <family val="0"/>
    </font>
    <font>
      <b/>
      <sz val="5"/>
      <color indexed="12"/>
      <name val="Arial"/>
      <family val="2"/>
    </font>
    <font>
      <u val="single"/>
      <sz val="5"/>
      <name val="Arial"/>
      <family val="2"/>
    </font>
    <font>
      <b/>
      <u val="single"/>
      <sz val="5"/>
      <name val="Arial"/>
      <family val="2"/>
    </font>
    <font>
      <b/>
      <sz val="5"/>
      <name val="Arial"/>
      <family val="2"/>
    </font>
    <font>
      <sz val="5"/>
      <color indexed="55"/>
      <name val="Arial"/>
      <family val="2"/>
    </font>
    <font>
      <b/>
      <u val="single"/>
      <sz val="8.5"/>
      <name val="Arial"/>
      <family val="2"/>
    </font>
    <font>
      <sz val="9"/>
      <color indexed="23"/>
      <name val="Arial"/>
      <family val="2"/>
    </font>
    <font>
      <b/>
      <u val="single"/>
      <sz val="9"/>
      <color indexed="12"/>
      <name val="Arial"/>
      <family val="2"/>
    </font>
    <font>
      <b/>
      <u val="single"/>
      <sz val="10"/>
      <color indexed="10"/>
      <name val="Arial"/>
      <family val="0"/>
    </font>
    <font>
      <b/>
      <sz val="8"/>
      <color indexed="16"/>
      <name val="Arial"/>
      <family val="0"/>
    </font>
    <font>
      <i/>
      <sz val="8"/>
      <color indexed="12"/>
      <name val="Arial"/>
      <family val="2"/>
    </font>
    <font>
      <b/>
      <u val="single"/>
      <sz val="1"/>
      <name val="Arial"/>
      <family val="2"/>
    </font>
    <font>
      <vertAlign val="superscript"/>
      <sz val="1"/>
      <name val="Arial"/>
      <family val="2"/>
    </font>
    <font>
      <b/>
      <u val="single"/>
      <sz val="1.25"/>
      <name val="Arial"/>
      <family val="2"/>
    </font>
    <font>
      <sz val="1.25"/>
      <name val="Arial"/>
      <family val="2"/>
    </font>
    <font>
      <vertAlign val="superscript"/>
      <sz val="1.25"/>
      <name val="Arial"/>
      <family val="2"/>
    </font>
    <font>
      <u val="single"/>
      <sz val="1"/>
      <name val="Arial"/>
      <family val="2"/>
    </font>
    <font>
      <b/>
      <sz val="1"/>
      <name val="Arial"/>
      <family val="2"/>
    </font>
    <font>
      <sz val="1"/>
      <color indexed="12"/>
      <name val="Arial"/>
      <family val="2"/>
    </font>
    <font>
      <sz val="7.25"/>
      <name val="Arial"/>
      <family val="2"/>
    </font>
    <font>
      <b/>
      <sz val="1.5"/>
      <name val="Arial"/>
      <family val="2"/>
    </font>
    <font>
      <sz val="1.5"/>
      <name val="Arial"/>
      <family val="0"/>
    </font>
    <font>
      <b/>
      <u val="double"/>
      <sz val="20"/>
      <color indexed="12"/>
      <name val="Arial Black"/>
      <family val="2"/>
    </font>
    <font>
      <b/>
      <sz val="11"/>
      <name val="Arial"/>
      <family val="2"/>
    </font>
    <font>
      <b/>
      <u val="single"/>
      <sz val="11"/>
      <name val="Arial"/>
      <family val="2"/>
    </font>
    <font>
      <sz val="11"/>
      <name val="Arial"/>
      <family val="0"/>
    </font>
    <font>
      <i/>
      <sz val="10"/>
      <name val="Times New Roman"/>
      <family val="1"/>
    </font>
    <font>
      <sz val="12"/>
      <name val="Times New Roman"/>
      <family val="1"/>
    </font>
    <font>
      <sz val="14"/>
      <name val="Wingdings"/>
      <family val="0"/>
    </font>
    <font>
      <i/>
      <sz val="7"/>
      <name val="Arial"/>
      <family val="2"/>
    </font>
    <font>
      <i/>
      <u val="single"/>
      <sz val="7"/>
      <name val="Arial"/>
      <family val="2"/>
    </font>
    <font>
      <i/>
      <sz val="8"/>
      <name val="Arial"/>
      <family val="2"/>
    </font>
    <font>
      <b/>
      <sz val="10.25"/>
      <name val="Arial"/>
      <family val="2"/>
    </font>
    <font>
      <sz val="8.5"/>
      <name val="Arial"/>
      <family val="0"/>
    </font>
    <font>
      <b/>
      <u val="single"/>
      <sz val="12"/>
      <name val="Arial"/>
      <family val="2"/>
    </font>
    <font>
      <sz val="6.25"/>
      <name val="Arial"/>
      <family val="2"/>
    </font>
    <font>
      <sz val="11"/>
      <name val="Times New Roman"/>
      <family val="1"/>
    </font>
    <font>
      <b/>
      <i/>
      <sz val="7"/>
      <name val="Arial"/>
      <family val="2"/>
    </font>
    <font>
      <b/>
      <sz val="11"/>
      <color indexed="16"/>
      <name val="Arial"/>
      <family val="2"/>
    </font>
    <font>
      <b/>
      <u val="single"/>
      <sz val="8"/>
      <name val="Arial"/>
      <family val="2"/>
    </font>
    <font>
      <sz val="3.75"/>
      <name val="Arial"/>
      <family val="0"/>
    </font>
    <font>
      <vertAlign val="superscript"/>
      <sz val="8"/>
      <name val="Arial"/>
      <family val="2"/>
    </font>
    <font>
      <b/>
      <sz val="8"/>
      <color indexed="10"/>
      <name val="Arial"/>
      <family val="2"/>
    </font>
    <font>
      <b/>
      <sz val="12"/>
      <color indexed="10"/>
      <name val="Arial"/>
      <family val="2"/>
    </font>
    <font>
      <sz val="8"/>
      <color indexed="55"/>
      <name val="Arial"/>
      <family val="0"/>
    </font>
    <font>
      <b/>
      <i/>
      <sz val="10"/>
      <name val="Arial"/>
      <family val="2"/>
    </font>
    <font>
      <sz val="9"/>
      <color indexed="55"/>
      <name val="Arial"/>
      <family val="0"/>
    </font>
    <font>
      <u val="single"/>
      <sz val="8.5"/>
      <name val="Arial"/>
      <family val="2"/>
    </font>
    <font>
      <sz val="4"/>
      <name val="Tahoma"/>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sz val="9"/>
      <name val="Tahoma"/>
      <family val="0"/>
    </font>
    <font>
      <b/>
      <sz val="9"/>
      <name val="Tahoma"/>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lightTrellis"/>
    </fill>
    <fill>
      <patternFill patternType="lightDown"/>
    </fill>
    <fill>
      <patternFill patternType="solid">
        <fgColor indexed="41"/>
        <bgColor indexed="64"/>
      </patternFill>
    </fill>
    <fill>
      <patternFill patternType="gray125">
        <bgColor indexed="9"/>
      </patternFill>
    </fill>
  </fills>
  <borders count="7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medium"/>
      <top>
        <color indexed="63"/>
      </top>
      <bottom>
        <color indexed="63"/>
      </bottom>
    </border>
    <border>
      <left>
        <color indexed="63"/>
      </left>
      <right style="thin"/>
      <top style="medium"/>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color indexed="63"/>
      </bottom>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ck">
        <color indexed="1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style="thick">
        <color indexed="12"/>
      </top>
      <bottom>
        <color indexed="63"/>
      </bottom>
    </border>
    <border>
      <left style="thin"/>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style="thin"/>
      <bottom style="hair">
        <color indexed="23"/>
      </bottom>
    </border>
    <border>
      <left style="thin"/>
      <right style="thick">
        <color indexed="12"/>
      </right>
      <top style="hair">
        <color indexed="23"/>
      </top>
      <bottom style="hair">
        <color indexed="23"/>
      </bottom>
    </border>
    <border>
      <left style="thin"/>
      <right>
        <color indexed="63"/>
      </right>
      <top style="thick">
        <color indexed="12"/>
      </top>
      <bottom>
        <color indexed="63"/>
      </bottom>
    </border>
    <border>
      <left style="thin"/>
      <right>
        <color indexed="63"/>
      </right>
      <top style="thin"/>
      <bottom style="hair">
        <color indexed="23"/>
      </bottom>
    </border>
    <border>
      <left style="thin"/>
      <right>
        <color indexed="63"/>
      </right>
      <top style="hair">
        <color indexed="23"/>
      </top>
      <bottom style="hair">
        <color indexed="23"/>
      </bottom>
    </border>
    <border>
      <left>
        <color indexed="63"/>
      </left>
      <right>
        <color indexed="63"/>
      </right>
      <top style="thick">
        <color indexed="12"/>
      </top>
      <bottom>
        <color indexed="63"/>
      </bottom>
    </border>
    <border>
      <left style="thick">
        <color indexed="12"/>
      </left>
      <right style="thin"/>
      <top style="thick">
        <color indexed="12"/>
      </top>
      <bottom>
        <color indexed="63"/>
      </bottom>
    </border>
    <border>
      <left style="thin"/>
      <right>
        <color indexed="63"/>
      </right>
      <top>
        <color indexed="63"/>
      </top>
      <bottom style="thick">
        <color indexed="12"/>
      </bottom>
    </border>
    <border>
      <left style="thin"/>
      <right style="thick">
        <color indexed="12"/>
      </right>
      <top>
        <color indexed="63"/>
      </top>
      <bottom style="thick">
        <color indexed="12"/>
      </bottom>
    </border>
    <border>
      <left style="thick">
        <color indexed="12"/>
      </left>
      <right style="thin"/>
      <top style="thin"/>
      <bottom style="hair">
        <color indexed="23"/>
      </bottom>
    </border>
    <border>
      <left style="thick">
        <color indexed="12"/>
      </left>
      <right style="thin"/>
      <top style="hair">
        <color indexed="23"/>
      </top>
      <bottom style="hair">
        <color indexed="23"/>
      </bottom>
    </border>
    <border>
      <left style="thick">
        <color indexed="12"/>
      </left>
      <right style="thin"/>
      <top>
        <color indexed="63"/>
      </top>
      <bottom style="thick">
        <color indexed="12"/>
      </bottom>
    </border>
    <border>
      <left style="thick">
        <color indexed="12"/>
      </left>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ck">
        <color indexed="12"/>
      </left>
      <right>
        <color indexed="63"/>
      </right>
      <top style="hair">
        <color indexed="23"/>
      </top>
      <bottom style="hair">
        <color indexed="23"/>
      </bottom>
    </border>
    <border>
      <left>
        <color indexed="63"/>
      </left>
      <right style="thin"/>
      <top style="hair">
        <color indexed="23"/>
      </top>
      <bottom style="hair">
        <color indexed="23"/>
      </bottom>
    </border>
    <border>
      <left style="thick">
        <color indexed="12"/>
      </left>
      <right>
        <color indexed="63"/>
      </right>
      <top>
        <color indexed="63"/>
      </top>
      <bottom style="thick">
        <color indexed="12"/>
      </bottom>
    </border>
    <border>
      <left>
        <color indexed="63"/>
      </left>
      <right>
        <color indexed="63"/>
      </right>
      <top>
        <color indexed="63"/>
      </top>
      <bottom style="hair">
        <color indexed="54"/>
      </bottom>
    </border>
    <border>
      <left style="thick">
        <color indexed="12"/>
      </left>
      <right>
        <color indexed="63"/>
      </right>
      <top style="thick">
        <color indexed="12"/>
      </top>
      <bottom>
        <color indexed="63"/>
      </bottom>
    </border>
    <border>
      <left style="thick">
        <color indexed="12"/>
      </left>
      <right>
        <color indexed="63"/>
      </right>
      <top>
        <color indexed="63"/>
      </top>
      <bottom style="thin"/>
    </border>
    <border>
      <left style="thick">
        <color indexed="12"/>
      </left>
      <right>
        <color indexed="63"/>
      </right>
      <top style="thin"/>
      <bottom style="hair">
        <color indexed="23"/>
      </bottom>
    </border>
    <border>
      <left>
        <color indexed="63"/>
      </left>
      <right style="thin"/>
      <top style="thin"/>
      <bottom style="hair">
        <color indexed="23"/>
      </bottom>
    </border>
    <border>
      <left>
        <color indexed="63"/>
      </left>
      <right>
        <color indexed="63"/>
      </right>
      <top style="hair">
        <color indexed="54"/>
      </top>
      <bottom style="hair">
        <color indexed="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0" borderId="2" applyNumberFormat="0" applyAlignment="0" applyProtection="0"/>
    <xf numFmtId="0" fontId="4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1" fillId="7" borderId="2" applyNumberFormat="0" applyAlignment="0" applyProtection="0"/>
    <xf numFmtId="0" fontId="110" fillId="0" borderId="3" applyNumberFormat="0" applyFill="0" applyAlignment="0" applyProtection="0"/>
    <xf numFmtId="0" fontId="111" fillId="0" borderId="0" applyNumberFormat="0" applyFill="0" applyBorder="0" applyAlignment="0" applyProtection="0"/>
    <xf numFmtId="0" fontId="112" fillId="4" borderId="0" applyNumberFormat="0" applyBorder="0" applyAlignment="0" applyProtection="0"/>
    <xf numFmtId="0" fontId="41" fillId="0" borderId="0" applyNumberFormat="0" applyFill="0" applyBorder="0" applyAlignment="0" applyProtection="0"/>
    <xf numFmtId="0" fontId="1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14" fillId="3" borderId="0" applyNumberFormat="0" applyBorder="0" applyAlignment="0" applyProtection="0"/>
    <xf numFmtId="0" fontId="115" fillId="0" borderId="0" applyNumberForma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20" fillId="0" borderId="0" applyNumberFormat="0" applyFill="0" applyBorder="0" applyAlignment="0" applyProtection="0"/>
    <xf numFmtId="0" fontId="121" fillId="23" borderId="9" applyNumberFormat="0" applyAlignment="0" applyProtection="0"/>
  </cellStyleXfs>
  <cellXfs count="347">
    <xf numFmtId="0" fontId="0" fillId="0" borderId="0" xfId="0" applyAlignment="1">
      <alignment/>
    </xf>
    <xf numFmtId="0" fontId="0" fillId="0" borderId="0" xfId="0" applyAlignment="1" applyProtection="1">
      <alignment/>
      <protection hidden="1"/>
    </xf>
    <xf numFmtId="0" fontId="7" fillId="20" borderId="10" xfId="0" applyFont="1" applyFill="1" applyBorder="1" applyAlignment="1" applyProtection="1">
      <alignment horizontal="left"/>
      <protection hidden="1"/>
    </xf>
    <xf numFmtId="0" fontId="1" fillId="20" borderId="11" xfId="0" applyFont="1" applyFill="1" applyBorder="1" applyAlignment="1" applyProtection="1">
      <alignment horizontal="centerContinuous"/>
      <protection hidden="1"/>
    </xf>
    <xf numFmtId="0" fontId="10" fillId="20" borderId="12" xfId="0" applyFont="1" applyFill="1" applyBorder="1" applyAlignment="1" applyProtection="1">
      <alignment horizontal="centerContinuous"/>
      <protection hidden="1"/>
    </xf>
    <xf numFmtId="0" fontId="1" fillId="20" borderId="13"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20" borderId="11" xfId="0" applyFill="1" applyBorder="1" applyAlignment="1" applyProtection="1">
      <alignment/>
      <protection hidden="1"/>
    </xf>
    <xf numFmtId="0" fontId="12" fillId="20" borderId="13" xfId="0" applyFont="1" applyFill="1" applyBorder="1" applyAlignment="1" applyProtection="1">
      <alignment horizontal="center" vertical="center"/>
      <protection hidden="1"/>
    </xf>
    <xf numFmtId="0" fontId="0" fillId="20" borderId="14" xfId="0" applyFill="1" applyBorder="1" applyAlignment="1" applyProtection="1">
      <alignment/>
      <protection hidden="1"/>
    </xf>
    <xf numFmtId="0" fontId="0" fillId="20" borderId="15" xfId="0" applyFill="1" applyBorder="1" applyAlignment="1" applyProtection="1">
      <alignment/>
      <protection hidden="1"/>
    </xf>
    <xf numFmtId="0" fontId="0" fillId="24" borderId="0" xfId="0" applyFill="1" applyAlignment="1" applyProtection="1">
      <alignment/>
      <protection hidden="1"/>
    </xf>
    <xf numFmtId="0" fontId="0" fillId="0" borderId="15" xfId="0" applyBorder="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left"/>
      <protection hidden="1"/>
    </xf>
    <xf numFmtId="0" fontId="2" fillId="0" borderId="10" xfId="0" applyFont="1" applyBorder="1" applyAlignment="1" applyProtection="1">
      <alignment horizontal="centerContinuous"/>
      <protection hidden="1"/>
    </xf>
    <xf numFmtId="0" fontId="0" fillId="0" borderId="16" xfId="0" applyBorder="1" applyAlignment="1" applyProtection="1">
      <alignment horizontal="centerContinuous"/>
      <protection hidden="1"/>
    </xf>
    <xf numFmtId="0" fontId="0" fillId="0" borderId="17" xfId="0" applyBorder="1" applyAlignment="1" applyProtection="1">
      <alignment horizontal="centerContinuous"/>
      <protection hidden="1"/>
    </xf>
    <xf numFmtId="0" fontId="0" fillId="25" borderId="0" xfId="0" applyFill="1" applyAlignment="1" applyProtection="1">
      <alignment/>
      <protection hidden="1"/>
    </xf>
    <xf numFmtId="0" fontId="0" fillId="25" borderId="10" xfId="0" applyFill="1" applyBorder="1" applyAlignment="1" applyProtection="1">
      <alignment/>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25" borderId="11" xfId="0" applyFill="1" applyBorder="1" applyAlignment="1" applyProtection="1">
      <alignment/>
      <protection hidden="1"/>
    </xf>
    <xf numFmtId="0" fontId="0" fillId="0" borderId="21" xfId="0" applyBorder="1" applyAlignment="1" applyProtection="1">
      <alignment horizontal="center"/>
      <protection hidden="1"/>
    </xf>
    <xf numFmtId="0" fontId="14" fillId="0" borderId="20" xfId="0" applyFont="1" applyBorder="1" applyAlignment="1" applyProtection="1">
      <alignment horizontal="center"/>
      <protection hidden="1"/>
    </xf>
    <xf numFmtId="0" fontId="0" fillId="0" borderId="22" xfId="0" applyBorder="1" applyAlignment="1" applyProtection="1">
      <alignment/>
      <protection hidden="1"/>
    </xf>
    <xf numFmtId="169" fontId="0" fillId="0" borderId="0" xfId="0" applyNumberFormat="1" applyBorder="1" applyAlignment="1" applyProtection="1">
      <alignment/>
      <protection hidden="1"/>
    </xf>
    <xf numFmtId="169" fontId="0" fillId="0" borderId="13" xfId="0" applyNumberFormat="1" applyBorder="1" applyAlignment="1" applyProtection="1">
      <alignment/>
      <protection hidden="1"/>
    </xf>
    <xf numFmtId="169" fontId="0" fillId="26" borderId="0" xfId="0" applyNumberFormat="1" applyFill="1" applyBorder="1" applyAlignment="1" applyProtection="1">
      <alignment/>
      <protection hidden="1"/>
    </xf>
    <xf numFmtId="169" fontId="0" fillId="26" borderId="23" xfId="0" applyNumberFormat="1" applyFill="1" applyBorder="1" applyAlignment="1" applyProtection="1">
      <alignment/>
      <protection hidden="1"/>
    </xf>
    <xf numFmtId="0" fontId="0" fillId="0" borderId="22" xfId="0" applyBorder="1" applyAlignment="1" applyProtection="1">
      <alignment vertical="center"/>
      <protection hidden="1"/>
    </xf>
    <xf numFmtId="169" fontId="0" fillId="0" borderId="0" xfId="0" applyNumberFormat="1" applyBorder="1" applyAlignment="1" applyProtection="1">
      <alignment vertical="center"/>
      <protection hidden="1"/>
    </xf>
    <xf numFmtId="169" fontId="0" fillId="0" borderId="13" xfId="0" applyNumberFormat="1" applyBorder="1" applyAlignment="1" applyProtection="1">
      <alignment vertical="center"/>
      <protection hidden="1"/>
    </xf>
    <xf numFmtId="169" fontId="0" fillId="26" borderId="13" xfId="0" applyNumberFormat="1" applyFill="1" applyBorder="1" applyAlignment="1" applyProtection="1">
      <alignment/>
      <protection hidden="1"/>
    </xf>
    <xf numFmtId="2" fontId="0" fillId="0" borderId="0" xfId="0" applyNumberFormat="1" applyBorder="1" applyAlignment="1" applyProtection="1">
      <alignment/>
      <protection hidden="1"/>
    </xf>
    <xf numFmtId="2" fontId="0" fillId="0" borderId="13" xfId="0" applyNumberFormat="1" applyBorder="1" applyAlignment="1" applyProtection="1">
      <alignment/>
      <protection hidden="1"/>
    </xf>
    <xf numFmtId="0" fontId="0" fillId="0" borderId="24" xfId="0" applyBorder="1" applyAlignment="1" applyProtection="1">
      <alignment/>
      <protection hidden="1"/>
    </xf>
    <xf numFmtId="169" fontId="0" fillId="0" borderId="15" xfId="0" applyNumberFormat="1" applyBorder="1" applyAlignment="1" applyProtection="1">
      <alignment/>
      <protection hidden="1"/>
    </xf>
    <xf numFmtId="169" fontId="0" fillId="0" borderId="12" xfId="0" applyNumberFormat="1" applyBorder="1" applyAlignment="1" applyProtection="1">
      <alignment/>
      <protection hidden="1"/>
    </xf>
    <xf numFmtId="2" fontId="0" fillId="0" borderId="25" xfId="0" applyNumberFormat="1" applyBorder="1" applyAlignment="1" applyProtection="1">
      <alignment/>
      <protection hidden="1"/>
    </xf>
    <xf numFmtId="2" fontId="0" fillId="0" borderId="15" xfId="0" applyNumberFormat="1" applyBorder="1" applyAlignment="1" applyProtection="1">
      <alignment/>
      <protection hidden="1"/>
    </xf>
    <xf numFmtId="2" fontId="0" fillId="0" borderId="12" xfId="0" applyNumberFormat="1" applyBorder="1" applyAlignment="1" applyProtection="1">
      <alignment/>
      <protection hidden="1"/>
    </xf>
    <xf numFmtId="0" fontId="6" fillId="0" borderId="24" xfId="0" applyFont="1" applyBorder="1" applyAlignment="1" applyProtection="1">
      <alignment horizontal="right"/>
      <protection hidden="1"/>
    </xf>
    <xf numFmtId="0" fontId="0" fillId="20" borderId="13" xfId="0" applyFill="1" applyBorder="1" applyAlignment="1" applyProtection="1">
      <alignment horizontal="left" vertical="center"/>
      <protection hidden="1"/>
    </xf>
    <xf numFmtId="0" fontId="0" fillId="20" borderId="0" xfId="0" applyFill="1" applyBorder="1" applyAlignment="1" applyProtection="1">
      <alignment/>
      <protection hidden="1"/>
    </xf>
    <xf numFmtId="0" fontId="0" fillId="0" borderId="0" xfId="0" applyAlignment="1" applyProtection="1">
      <alignment/>
      <protection hidden="1"/>
    </xf>
    <xf numFmtId="0" fontId="0" fillId="20" borderId="10" xfId="0" applyFill="1" applyBorder="1" applyAlignment="1" applyProtection="1">
      <alignment/>
      <protection hidden="1"/>
    </xf>
    <xf numFmtId="0" fontId="0" fillId="20" borderId="16" xfId="0" applyFill="1" applyBorder="1" applyAlignment="1" applyProtection="1">
      <alignment/>
      <protection hidden="1"/>
    </xf>
    <xf numFmtId="0" fontId="0" fillId="20" borderId="17" xfId="0" applyFill="1" applyBorder="1" applyAlignment="1" applyProtection="1">
      <alignment/>
      <protection hidden="1"/>
    </xf>
    <xf numFmtId="0" fontId="0" fillId="0" borderId="0" xfId="0" applyAlignment="1" applyProtection="1">
      <alignment horizontal="right"/>
      <protection hidden="1"/>
    </xf>
    <xf numFmtId="0" fontId="0" fillId="20" borderId="13" xfId="0" applyFill="1" applyBorder="1" applyAlignment="1" applyProtection="1">
      <alignment/>
      <protection hidden="1"/>
    </xf>
    <xf numFmtId="0" fontId="29" fillId="20" borderId="0" xfId="0" applyFont="1" applyFill="1" applyAlignment="1" applyProtection="1">
      <alignment/>
      <protection hidden="1"/>
    </xf>
    <xf numFmtId="0" fontId="18" fillId="20" borderId="13" xfId="0" applyFont="1" applyFill="1" applyBorder="1" applyAlignment="1" applyProtection="1">
      <alignment vertical="center"/>
      <protection hidden="1"/>
    </xf>
    <xf numFmtId="0" fontId="20" fillId="20" borderId="12" xfId="0" applyFont="1" applyFill="1" applyBorder="1" applyAlignment="1" applyProtection="1">
      <alignment horizontal="left" vertical="center"/>
      <protection hidden="1"/>
    </xf>
    <xf numFmtId="0" fontId="0" fillId="25" borderId="0" xfId="0" applyFill="1" applyBorder="1" applyAlignment="1" applyProtection="1">
      <alignment/>
      <protection hidden="1"/>
    </xf>
    <xf numFmtId="0" fontId="0" fillId="0" borderId="10" xfId="0" applyFont="1" applyBorder="1" applyAlignment="1" applyProtection="1">
      <alignment horizontal="left"/>
      <protection hidden="1"/>
    </xf>
    <xf numFmtId="0" fontId="0" fillId="0" borderId="18" xfId="0" applyBorder="1" applyAlignment="1" applyProtection="1">
      <alignment horizontal="center" vertical="center"/>
      <protection hidden="1"/>
    </xf>
    <xf numFmtId="0" fontId="0" fillId="20" borderId="17" xfId="0" applyFill="1" applyBorder="1" applyAlignment="1" applyProtection="1">
      <alignment horizontal="centerContinuous"/>
      <protection hidden="1"/>
    </xf>
    <xf numFmtId="0" fontId="1" fillId="20" borderId="17" xfId="0" applyFont="1" applyFill="1" applyBorder="1" applyAlignment="1" applyProtection="1">
      <alignment horizontal="center"/>
      <protection hidden="1"/>
    </xf>
    <xf numFmtId="0" fontId="1" fillId="20" borderId="13" xfId="0" applyFont="1" applyFill="1" applyBorder="1" applyAlignment="1" applyProtection="1">
      <alignment horizontal="center"/>
      <protection hidden="1"/>
    </xf>
    <xf numFmtId="0" fontId="39" fillId="20" borderId="16" xfId="0" applyFont="1" applyFill="1" applyBorder="1" applyAlignment="1" applyProtection="1">
      <alignment horizontal="centerContinuous"/>
      <protection hidden="1"/>
    </xf>
    <xf numFmtId="0" fontId="39" fillId="20" borderId="15" xfId="0" applyFont="1" applyFill="1" applyBorder="1" applyAlignment="1" applyProtection="1">
      <alignment horizontal="centerContinuous"/>
      <protection hidden="1"/>
    </xf>
    <xf numFmtId="0" fontId="0" fillId="0" borderId="26" xfId="0" applyBorder="1" applyAlignment="1" applyProtection="1">
      <alignment/>
      <protection hidden="1"/>
    </xf>
    <xf numFmtId="2" fontId="0" fillId="0" borderId="16" xfId="0" applyNumberFormat="1" applyBorder="1" applyAlignment="1" applyProtection="1">
      <alignment/>
      <protection hidden="1"/>
    </xf>
    <xf numFmtId="0" fontId="0" fillId="0" borderId="25" xfId="0" applyBorder="1" applyAlignment="1" applyProtection="1">
      <alignment/>
      <protection hidden="1"/>
    </xf>
    <xf numFmtId="0" fontId="19" fillId="21" borderId="0" xfId="0" applyFont="1" applyFill="1" applyAlignment="1" applyProtection="1">
      <alignment/>
      <protection hidden="1"/>
    </xf>
    <xf numFmtId="0" fontId="0" fillId="21" borderId="0" xfId="0" applyFill="1" applyAlignment="1" applyProtection="1">
      <alignment/>
      <protection hidden="1"/>
    </xf>
    <xf numFmtId="0" fontId="0" fillId="25" borderId="13" xfId="0" applyFill="1" applyBorder="1" applyAlignment="1" applyProtection="1">
      <alignment/>
      <protection hidden="1"/>
    </xf>
    <xf numFmtId="0" fontId="0" fillId="20" borderId="27" xfId="0" applyFill="1" applyBorder="1" applyAlignment="1" applyProtection="1">
      <alignment/>
      <protection hidden="1"/>
    </xf>
    <xf numFmtId="0" fontId="0" fillId="0" borderId="0" xfId="0" applyNumberFormat="1" applyAlignment="1" applyProtection="1">
      <alignment/>
      <protection hidden="1"/>
    </xf>
    <xf numFmtId="0" fontId="0" fillId="0" borderId="0" xfId="0" applyNumberFormat="1" applyFont="1" applyBorder="1" applyAlignment="1" applyProtection="1">
      <alignment horizontal="left"/>
      <protection hidden="1"/>
    </xf>
    <xf numFmtId="0" fontId="0" fillId="0" borderId="16" xfId="0" applyNumberFormat="1" applyBorder="1" applyAlignment="1" applyProtection="1">
      <alignment horizontal="centerContinuous"/>
      <protection hidden="1"/>
    </xf>
    <xf numFmtId="0" fontId="0" fillId="0" borderId="0" xfId="0" applyNumberFormat="1" applyAlignment="1" applyProtection="1">
      <alignment horizontal="center"/>
      <protection hidden="1"/>
    </xf>
    <xf numFmtId="0" fontId="0" fillId="0" borderId="11" xfId="0" applyNumberFormat="1" applyBorder="1" applyAlignment="1" applyProtection="1">
      <alignment/>
      <protection hidden="1"/>
    </xf>
    <xf numFmtId="0" fontId="0" fillId="0" borderId="13" xfId="0" applyNumberFormat="1" applyBorder="1" applyAlignment="1" applyProtection="1">
      <alignment/>
      <protection hidden="1"/>
    </xf>
    <xf numFmtId="0" fontId="0" fillId="0" borderId="14" xfId="0" applyNumberFormat="1" applyBorder="1" applyAlignment="1" applyProtection="1">
      <alignment/>
      <protection hidden="1"/>
    </xf>
    <xf numFmtId="0" fontId="0" fillId="0" borderId="12" xfId="0" applyNumberFormat="1" applyBorder="1" applyAlignment="1" applyProtection="1">
      <alignment/>
      <protection hidden="1"/>
    </xf>
    <xf numFmtId="0" fontId="7" fillId="20" borderId="16" xfId="0" applyFont="1" applyFill="1" applyBorder="1" applyAlignment="1" applyProtection="1">
      <alignment horizontal="left"/>
      <protection hidden="1"/>
    </xf>
    <xf numFmtId="0" fontId="1" fillId="20" borderId="0" xfId="0" applyFont="1" applyFill="1" applyBorder="1" applyAlignment="1" applyProtection="1">
      <alignment horizontal="centerContinuous"/>
      <protection hidden="1"/>
    </xf>
    <xf numFmtId="0" fontId="24" fillId="20" borderId="0" xfId="0" applyFont="1" applyFill="1" applyBorder="1" applyAlignment="1" applyProtection="1">
      <alignment horizontal="right"/>
      <protection hidden="1"/>
    </xf>
    <xf numFmtId="0" fontId="24" fillId="20" borderId="0" xfId="0" applyFont="1" applyFill="1" applyBorder="1" applyAlignment="1" applyProtection="1">
      <alignment vertical="center"/>
      <protection hidden="1"/>
    </xf>
    <xf numFmtId="0" fontId="1" fillId="27" borderId="28" xfId="0" applyNumberFormat="1" applyFont="1" applyFill="1" applyBorder="1" applyAlignment="1" applyProtection="1">
      <alignment horizontal="center" vertical="center"/>
      <protection locked="0"/>
    </xf>
    <xf numFmtId="0" fontId="63" fillId="20" borderId="16" xfId="0" applyFont="1" applyFill="1" applyBorder="1" applyAlignment="1" applyProtection="1">
      <alignment horizontal="left"/>
      <protection hidden="1"/>
    </xf>
    <xf numFmtId="0" fontId="64" fillId="20" borderId="0" xfId="0" applyFont="1" applyFill="1" applyBorder="1" applyAlignment="1" applyProtection="1">
      <alignment horizontal="centerContinuous"/>
      <protection hidden="1"/>
    </xf>
    <xf numFmtId="0" fontId="65" fillId="20" borderId="0" xfId="0" applyFont="1" applyFill="1" applyBorder="1" applyAlignment="1" applyProtection="1">
      <alignment vertical="center"/>
      <protection hidden="1"/>
    </xf>
    <xf numFmtId="0" fontId="65" fillId="20" borderId="0" xfId="0" applyFont="1" applyFill="1" applyBorder="1" applyAlignment="1" applyProtection="1">
      <alignment horizontal="right"/>
      <protection hidden="1"/>
    </xf>
    <xf numFmtId="0" fontId="52" fillId="20" borderId="15" xfId="0" applyFont="1" applyFill="1" applyBorder="1" applyAlignment="1" applyProtection="1">
      <alignment/>
      <protection hidden="1"/>
    </xf>
    <xf numFmtId="0" fontId="20" fillId="20" borderId="29" xfId="0" applyFont="1" applyFill="1" applyBorder="1" applyAlignment="1" applyProtection="1">
      <alignment horizontal="center" vertical="center"/>
      <protection hidden="1"/>
    </xf>
    <xf numFmtId="0" fontId="20" fillId="20" borderId="30" xfId="0" applyFont="1" applyFill="1" applyBorder="1" applyAlignment="1" applyProtection="1">
      <alignment horizontal="left" vertical="center"/>
      <protection hidden="1"/>
    </xf>
    <xf numFmtId="0" fontId="20" fillId="20" borderId="31" xfId="0" applyFont="1" applyFill="1" applyBorder="1" applyAlignment="1" applyProtection="1">
      <alignment horizontal="left" vertical="center"/>
      <protection hidden="1"/>
    </xf>
    <xf numFmtId="0" fontId="59" fillId="0" borderId="0" xfId="0" applyFont="1" applyAlignment="1" applyProtection="1">
      <alignment vertical="center"/>
      <protection hidden="1"/>
    </xf>
    <xf numFmtId="0" fontId="59" fillId="0" borderId="0" xfId="0" applyFont="1" applyAlignment="1" applyProtection="1">
      <alignment/>
      <protection hidden="1"/>
    </xf>
    <xf numFmtId="0" fontId="0" fillId="20" borderId="15" xfId="0" applyFill="1" applyBorder="1" applyAlignment="1" applyProtection="1">
      <alignment horizontal="right"/>
      <protection hidden="1"/>
    </xf>
    <xf numFmtId="0" fontId="54" fillId="20" borderId="11" xfId="0" applyFont="1" applyFill="1" applyBorder="1" applyAlignment="1" applyProtection="1">
      <alignment horizontal="right" vertical="center"/>
      <protection hidden="1"/>
    </xf>
    <xf numFmtId="0" fontId="46" fillId="0" borderId="0" xfId="0" applyFont="1" applyAlignment="1" applyProtection="1">
      <alignment/>
      <protection hidden="1"/>
    </xf>
    <xf numFmtId="0" fontId="1" fillId="20" borderId="11" xfId="0" applyFont="1" applyFill="1" applyBorder="1" applyAlignment="1" applyProtection="1">
      <alignment vertical="center"/>
      <protection hidden="1"/>
    </xf>
    <xf numFmtId="0" fontId="0" fillId="0" borderId="10" xfId="0" applyNumberFormat="1" applyBorder="1" applyAlignment="1" applyProtection="1">
      <alignment/>
      <protection hidden="1"/>
    </xf>
    <xf numFmtId="168" fontId="0" fillId="0" borderId="13" xfId="0" applyNumberFormat="1" applyBorder="1" applyAlignment="1" applyProtection="1">
      <alignment/>
      <protection hidden="1"/>
    </xf>
    <xf numFmtId="168" fontId="0" fillId="0" borderId="12" xfId="0" applyNumberFormat="1" applyBorder="1" applyAlignment="1" applyProtection="1">
      <alignment/>
      <protection hidden="1"/>
    </xf>
    <xf numFmtId="168" fontId="0" fillId="0" borderId="17" xfId="0" applyNumberFormat="1" applyBorder="1" applyAlignment="1" applyProtection="1">
      <alignment/>
      <protection hidden="1"/>
    </xf>
    <xf numFmtId="0" fontId="12" fillId="20" borderId="13" xfId="0" applyFont="1" applyFill="1" applyBorder="1" applyAlignment="1" applyProtection="1">
      <alignment horizontal="center"/>
      <protection hidden="1"/>
    </xf>
    <xf numFmtId="0" fontId="83" fillId="0" borderId="0" xfId="0" applyFont="1" applyAlignment="1" applyProtection="1">
      <alignment horizontal="left" vertical="top"/>
      <protection hidden="1"/>
    </xf>
    <xf numFmtId="0" fontId="84" fillId="0" borderId="0" xfId="0" applyFont="1" applyAlignment="1" applyProtection="1">
      <alignment horizontal="right" vertical="center"/>
      <protection hidden="1"/>
    </xf>
    <xf numFmtId="14" fontId="84" fillId="0" borderId="0" xfId="0" applyNumberFormat="1" applyFont="1" applyAlignment="1" applyProtection="1">
      <alignment horizontal="left" vertical="center"/>
      <protection locked="0"/>
    </xf>
    <xf numFmtId="0" fontId="85"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4" fillId="0" borderId="0" xfId="0" applyFont="1" applyBorder="1" applyAlignment="1" applyProtection="1">
      <alignment/>
      <protection hidden="1"/>
    </xf>
    <xf numFmtId="0" fontId="85" fillId="0" borderId="0" xfId="0" applyFont="1" applyBorder="1" applyAlignment="1" applyProtection="1">
      <alignment/>
      <protection hidden="1"/>
    </xf>
    <xf numFmtId="0" fontId="87" fillId="0" borderId="0" xfId="0" applyFont="1" applyAlignment="1" applyProtection="1">
      <alignment/>
      <protection hidden="1"/>
    </xf>
    <xf numFmtId="0" fontId="25" fillId="0" borderId="0" xfId="0" applyFont="1" applyAlignment="1" applyProtection="1">
      <alignment/>
      <protection hidden="1"/>
    </xf>
    <xf numFmtId="0" fontId="90" fillId="0" borderId="0" xfId="0" applyFont="1" applyAlignment="1" applyProtection="1">
      <alignment/>
      <protection hidden="1"/>
    </xf>
    <xf numFmtId="0" fontId="7" fillId="0" borderId="0" xfId="0" applyFont="1" applyBorder="1" applyAlignment="1" applyProtection="1">
      <alignment/>
      <protection hidden="1"/>
    </xf>
    <xf numFmtId="0" fontId="1" fillId="0" borderId="0" xfId="0" applyFont="1" applyAlignment="1" applyProtection="1">
      <alignment horizontal="left"/>
      <protection hidden="1"/>
    </xf>
    <xf numFmtId="181" fontId="1" fillId="0" borderId="0" xfId="0" applyNumberFormat="1" applyFont="1" applyAlignment="1" applyProtection="1">
      <alignment horizontal="left"/>
      <protection hidden="1"/>
    </xf>
    <xf numFmtId="0" fontId="22" fillId="24" borderId="0" xfId="0" applyFont="1" applyFill="1" applyAlignment="1" applyProtection="1">
      <alignment horizontal="right"/>
      <protection hidden="1"/>
    </xf>
    <xf numFmtId="187" fontId="1" fillId="24" borderId="0" xfId="0" applyNumberFormat="1" applyFont="1" applyFill="1" applyAlignment="1" applyProtection="1">
      <alignment horizontal="center"/>
      <protection hidden="1"/>
    </xf>
    <xf numFmtId="184" fontId="0" fillId="24" borderId="0" xfId="0" applyNumberFormat="1" applyFont="1" applyFill="1" applyAlignment="1" applyProtection="1">
      <alignment horizontal="left"/>
      <protection hidden="1"/>
    </xf>
    <xf numFmtId="0" fontId="7" fillId="0" borderId="0" xfId="0" applyFont="1" applyAlignment="1" applyProtection="1">
      <alignment/>
      <protection hidden="1"/>
    </xf>
    <xf numFmtId="0" fontId="27" fillId="24" borderId="0" xfId="0" applyFont="1" applyFill="1" applyAlignment="1" applyProtection="1">
      <alignment horizontal="right" vertical="center"/>
      <protection hidden="1"/>
    </xf>
    <xf numFmtId="168" fontId="0" fillId="24" borderId="0" xfId="0" applyNumberFormat="1" applyFill="1" applyAlignment="1" applyProtection="1">
      <alignment horizontal="center"/>
      <protection hidden="1"/>
    </xf>
    <xf numFmtId="0" fontId="0" fillId="24" borderId="0" xfId="0" applyNumberFormat="1" applyFill="1" applyAlignment="1" applyProtection="1">
      <alignment horizontal="left"/>
      <protection hidden="1"/>
    </xf>
    <xf numFmtId="0" fontId="0" fillId="24" borderId="0" xfId="0" applyFill="1" applyAlignment="1" applyProtection="1">
      <alignment horizontal="right"/>
      <protection hidden="1"/>
    </xf>
    <xf numFmtId="0" fontId="1" fillId="24" borderId="0" xfId="0" applyNumberFormat="1" applyFont="1" applyFill="1" applyAlignment="1" applyProtection="1">
      <alignment horizontal="center"/>
      <protection hidden="1"/>
    </xf>
    <xf numFmtId="184" fontId="0" fillId="24" borderId="0" xfId="0" applyNumberFormat="1" applyFont="1" applyFill="1" applyAlignment="1" applyProtection="1">
      <alignment horizontal="center"/>
      <protection hidden="1"/>
    </xf>
    <xf numFmtId="0" fontId="85" fillId="0" borderId="0" xfId="0" applyFont="1" applyAlignment="1" applyProtection="1">
      <alignment/>
      <protection hidden="1"/>
    </xf>
    <xf numFmtId="0" fontId="0" fillId="0" borderId="0" xfId="0" applyBorder="1" applyAlignment="1" applyProtection="1">
      <alignment/>
      <protection hidden="1"/>
    </xf>
    <xf numFmtId="0" fontId="86"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55" fillId="24" borderId="15" xfId="0" applyFont="1" applyFill="1" applyBorder="1" applyAlignment="1" applyProtection="1">
      <alignment horizontal="center" vertical="top"/>
      <protection hidden="1"/>
    </xf>
    <xf numFmtId="0" fontId="91" fillId="0" borderId="0" xfId="0" applyFont="1" applyAlignment="1" applyProtection="1">
      <alignment/>
      <protection hidden="1"/>
    </xf>
    <xf numFmtId="14" fontId="84" fillId="0" borderId="0" xfId="0" applyNumberFormat="1" applyFont="1" applyAlignment="1" applyProtection="1">
      <alignment horizontal="left" vertical="center"/>
      <protection hidden="1"/>
    </xf>
    <xf numFmtId="0" fontId="0" fillId="24" borderId="0" xfId="0" applyFill="1" applyAlignment="1" applyProtection="1">
      <alignment horizontal="left"/>
      <protection hidden="1"/>
    </xf>
    <xf numFmtId="187" fontId="0" fillId="24" borderId="0" xfId="0" applyNumberFormat="1" applyFont="1" applyFill="1" applyAlignment="1" applyProtection="1">
      <alignment horizontal="left"/>
      <protection hidden="1"/>
    </xf>
    <xf numFmtId="187" fontId="46" fillId="24" borderId="0" xfId="0" applyNumberFormat="1" applyFont="1" applyFill="1" applyAlignment="1" applyProtection="1">
      <alignment horizontal="left"/>
      <protection hidden="1"/>
    </xf>
    <xf numFmtId="0" fontId="1" fillId="0" borderId="0" xfId="0" applyFont="1" applyAlignment="1" applyProtection="1">
      <alignment/>
      <protection hidden="1"/>
    </xf>
    <xf numFmtId="0" fontId="55" fillId="0" borderId="0" xfId="0" applyFont="1" applyBorder="1" applyAlignment="1" applyProtection="1">
      <alignment/>
      <protection hidden="1"/>
    </xf>
    <xf numFmtId="0" fontId="0" fillId="24" borderId="0" xfId="0" applyFill="1" applyBorder="1" applyAlignment="1" applyProtection="1">
      <alignment horizontal="right"/>
      <protection hidden="1"/>
    </xf>
    <xf numFmtId="187" fontId="0" fillId="24" borderId="0" xfId="0" applyNumberFormat="1" applyFill="1" applyBorder="1" applyAlignment="1" applyProtection="1">
      <alignment horizontal="right"/>
      <protection hidden="1"/>
    </xf>
    <xf numFmtId="187" fontId="0" fillId="24" borderId="0" xfId="0" applyNumberFormat="1" applyFill="1" applyBorder="1" applyAlignment="1" applyProtection="1">
      <alignment horizontal="center"/>
      <protection hidden="1"/>
    </xf>
    <xf numFmtId="0" fontId="8" fillId="0" borderId="0" xfId="0" applyFont="1" applyAlignment="1" applyProtection="1">
      <alignment vertical="center"/>
      <protection hidden="1"/>
    </xf>
    <xf numFmtId="0" fontId="4" fillId="0" borderId="0" xfId="0" applyFont="1" applyAlignment="1" applyProtection="1">
      <alignment vertical="top"/>
      <protection hidden="1"/>
    </xf>
    <xf numFmtId="0" fontId="92" fillId="0" borderId="0" xfId="0" applyFont="1" applyAlignment="1" applyProtection="1">
      <alignment/>
      <protection hidden="1"/>
    </xf>
    <xf numFmtId="0" fontId="1" fillId="0" borderId="15" xfId="0" applyFont="1" applyBorder="1" applyAlignment="1" applyProtection="1">
      <alignment/>
      <protection hidden="1"/>
    </xf>
    <xf numFmtId="0" fontId="1" fillId="0" borderId="0" xfId="0" applyFont="1" applyBorder="1" applyAlignment="1" applyProtection="1">
      <alignment/>
      <protection hidden="1"/>
    </xf>
    <xf numFmtId="0" fontId="95" fillId="0" borderId="0" xfId="0" applyFont="1" applyAlignment="1" applyProtection="1">
      <alignment/>
      <protection hidden="1"/>
    </xf>
    <xf numFmtId="0" fontId="89" fillId="0" borderId="13" xfId="0" applyFont="1" applyFill="1" applyBorder="1" applyAlignment="1" applyProtection="1">
      <alignment horizontal="center" vertical="center"/>
      <protection hidden="1"/>
    </xf>
    <xf numFmtId="0" fontId="89" fillId="0" borderId="32" xfId="0" applyFont="1" applyFill="1" applyBorder="1" applyAlignment="1" applyProtection="1">
      <alignment horizontal="center" vertical="center"/>
      <protection hidden="1"/>
    </xf>
    <xf numFmtId="0" fontId="86"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86" fillId="0" borderId="33" xfId="0" applyFont="1" applyBorder="1" applyAlignment="1" applyProtection="1">
      <alignment/>
      <protection hidden="1"/>
    </xf>
    <xf numFmtId="0" fontId="0" fillId="0" borderId="34" xfId="0" applyBorder="1" applyAlignment="1" applyProtection="1">
      <alignment/>
      <protection hidden="1"/>
    </xf>
    <xf numFmtId="0" fontId="86" fillId="0" borderId="35" xfId="0" applyFont="1" applyBorder="1" applyAlignment="1" applyProtection="1">
      <alignment/>
      <protection hidden="1"/>
    </xf>
    <xf numFmtId="0" fontId="86" fillId="0" borderId="0" xfId="0" applyFont="1" applyBorder="1" applyAlignment="1" applyProtection="1">
      <alignment/>
      <protection hidden="1"/>
    </xf>
    <xf numFmtId="0" fontId="88" fillId="0" borderId="0" xfId="0" applyFont="1" applyBorder="1" applyAlignment="1" applyProtection="1">
      <alignment horizontal="left"/>
      <protection hidden="1"/>
    </xf>
    <xf numFmtId="0" fontId="0" fillId="0" borderId="35" xfId="0" applyBorder="1" applyAlignment="1" applyProtection="1">
      <alignment/>
      <protection hidden="1"/>
    </xf>
    <xf numFmtId="0" fontId="31" fillId="0" borderId="0" xfId="0" applyFont="1" applyAlignment="1" applyProtection="1">
      <alignment horizontal="left"/>
      <protection hidden="1"/>
    </xf>
    <xf numFmtId="0" fontId="1" fillId="0" borderId="0" xfId="0" applyNumberFormat="1" applyFont="1" applyAlignment="1" applyProtection="1">
      <alignment horizontal="left"/>
      <protection hidden="1"/>
    </xf>
    <xf numFmtId="0" fontId="31" fillId="0" borderId="15" xfId="0" applyFont="1" applyBorder="1" applyAlignment="1" applyProtection="1">
      <alignment horizontal="left"/>
      <protection hidden="1"/>
    </xf>
    <xf numFmtId="0" fontId="86" fillId="0" borderId="31" xfId="0" applyFont="1" applyBorder="1" applyAlignment="1" applyProtection="1">
      <alignment/>
      <protection hidden="1"/>
    </xf>
    <xf numFmtId="0" fontId="86" fillId="0" borderId="14" xfId="0" applyFont="1" applyBorder="1" applyAlignment="1" applyProtection="1">
      <alignment/>
      <protection hidden="1"/>
    </xf>
    <xf numFmtId="0" fontId="0" fillId="0" borderId="12" xfId="0" applyBorder="1" applyAlignment="1" applyProtection="1">
      <alignment/>
      <protection hidden="1"/>
    </xf>
    <xf numFmtId="0" fontId="86" fillId="0" borderId="36" xfId="0" applyFont="1" applyBorder="1" applyAlignment="1" applyProtection="1">
      <alignment/>
      <protection hidden="1"/>
    </xf>
    <xf numFmtId="0" fontId="86" fillId="0" borderId="37" xfId="0" applyFont="1" applyBorder="1" applyAlignment="1" applyProtection="1">
      <alignment/>
      <protection hidden="1"/>
    </xf>
    <xf numFmtId="0" fontId="0" fillId="0" borderId="38" xfId="0" applyBorder="1" applyAlignment="1" applyProtection="1">
      <alignment/>
      <protection hidden="1"/>
    </xf>
    <xf numFmtId="0" fontId="86" fillId="0" borderId="38" xfId="0" applyFont="1" applyBorder="1" applyAlignment="1" applyProtection="1">
      <alignment/>
      <protection hidden="1"/>
    </xf>
    <xf numFmtId="0" fontId="86" fillId="0" borderId="39" xfId="0" applyFont="1" applyBorder="1" applyAlignment="1" applyProtection="1">
      <alignment/>
      <protection hidden="1"/>
    </xf>
    <xf numFmtId="0" fontId="0" fillId="0" borderId="40" xfId="0" applyBorder="1" applyAlignment="1" applyProtection="1">
      <alignment horizontal="centerContinuous"/>
      <protection hidden="1"/>
    </xf>
    <xf numFmtId="0" fontId="35" fillId="4" borderId="10" xfId="0" applyFont="1" applyFill="1" applyBorder="1" applyAlignment="1" applyProtection="1">
      <alignment/>
      <protection hidden="1"/>
    </xf>
    <xf numFmtId="0" fontId="0" fillId="4" borderId="16" xfId="0" applyFill="1" applyBorder="1" applyAlignment="1" applyProtection="1">
      <alignment/>
      <protection hidden="1"/>
    </xf>
    <xf numFmtId="177" fontId="30" fillId="4" borderId="16" xfId="0" applyNumberFormat="1" applyFont="1" applyFill="1" applyBorder="1" applyAlignment="1" applyProtection="1">
      <alignment/>
      <protection hidden="1"/>
    </xf>
    <xf numFmtId="0" fontId="1" fillId="21" borderId="0" xfId="0" applyFont="1" applyFill="1" applyAlignment="1" applyProtection="1">
      <alignment horizontal="right"/>
      <protection hidden="1"/>
    </xf>
    <xf numFmtId="0" fontId="0" fillId="4" borderId="16" xfId="0" applyFont="1" applyFill="1" applyBorder="1" applyAlignment="1" applyProtection="1">
      <alignment vertical="center"/>
      <protection hidden="1"/>
    </xf>
    <xf numFmtId="49" fontId="22" fillId="21" borderId="0" xfId="0" applyNumberFormat="1" applyFont="1" applyFill="1" applyAlignment="1" applyProtection="1">
      <alignment horizontal="left"/>
      <protection hidden="1"/>
    </xf>
    <xf numFmtId="0" fontId="21" fillId="0" borderId="0" xfId="0" applyFont="1" applyAlignment="1" applyProtection="1">
      <alignment horizontal="right"/>
      <protection hidden="1"/>
    </xf>
    <xf numFmtId="0" fontId="90" fillId="0" borderId="0" xfId="0" applyFont="1" applyAlignment="1" applyProtection="1">
      <alignment vertical="center"/>
      <protection hidden="1"/>
    </xf>
    <xf numFmtId="0" fontId="1" fillId="24" borderId="41" xfId="0" applyFont="1" applyFill="1" applyBorder="1" applyAlignment="1" applyProtection="1">
      <alignment horizontal="center"/>
      <protection hidden="1"/>
    </xf>
    <xf numFmtId="0" fontId="1" fillId="24" borderId="42" xfId="0" applyFont="1" applyFill="1" applyBorder="1" applyAlignment="1" applyProtection="1">
      <alignment horizontal="center"/>
      <protection hidden="1"/>
    </xf>
    <xf numFmtId="0" fontId="1" fillId="24" borderId="0" xfId="0" applyFont="1" applyFill="1" applyAlignment="1" applyProtection="1">
      <alignment horizontal="left"/>
      <protection hidden="1"/>
    </xf>
    <xf numFmtId="0" fontId="0" fillId="0" borderId="0" xfId="0" applyAlignment="1" applyProtection="1">
      <alignment horizontal="right" vertical="center"/>
      <protection hidden="1"/>
    </xf>
    <xf numFmtId="0" fontId="24" fillId="20" borderId="0" xfId="0" applyFont="1" applyFill="1" applyBorder="1" applyAlignment="1" applyProtection="1">
      <alignment horizontal="center" vertical="center"/>
      <protection hidden="1"/>
    </xf>
    <xf numFmtId="189" fontId="39" fillId="24" borderId="43" xfId="0" applyNumberFormat="1" applyFont="1" applyFill="1" applyBorder="1" applyAlignment="1" applyProtection="1">
      <alignment horizontal="right"/>
      <protection hidden="1"/>
    </xf>
    <xf numFmtId="189" fontId="39" fillId="24" borderId="44" xfId="0" applyNumberFormat="1" applyFont="1" applyFill="1" applyBorder="1" applyAlignment="1" applyProtection="1">
      <alignment horizontal="right"/>
      <protection hidden="1"/>
    </xf>
    <xf numFmtId="0" fontId="28" fillId="20" borderId="12" xfId="0" applyNumberFormat="1" applyFont="1" applyFill="1" applyBorder="1" applyAlignment="1" applyProtection="1">
      <alignment horizontal="right" vertical="center"/>
      <protection hidden="1"/>
    </xf>
    <xf numFmtId="0" fontId="0" fillId="20" borderId="15" xfId="0" applyFont="1" applyFill="1" applyBorder="1" applyAlignment="1" applyProtection="1">
      <alignment/>
      <protection hidden="1"/>
    </xf>
    <xf numFmtId="0" fontId="19" fillId="0" borderId="0" xfId="0" applyNumberFormat="1" applyFont="1" applyAlignment="1" applyProtection="1">
      <alignment horizontal="center"/>
      <protection hidden="1"/>
    </xf>
    <xf numFmtId="0" fontId="2" fillId="0" borderId="10" xfId="0" applyFont="1" applyBorder="1" applyAlignment="1" applyProtection="1">
      <alignment horizontal="centerContinuous" vertical="center"/>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0" fillId="24" borderId="0" xfId="0" applyFont="1" applyFill="1" applyAlignment="1" applyProtection="1">
      <alignment horizontal="left"/>
      <protection hidden="1"/>
    </xf>
    <xf numFmtId="0" fontId="1" fillId="24" borderId="45" xfId="0" applyFont="1" applyFill="1" applyBorder="1" applyAlignment="1" applyProtection="1">
      <alignment horizontal="center"/>
      <protection hidden="1"/>
    </xf>
    <xf numFmtId="0" fontId="1" fillId="24" borderId="14" xfId="0" applyFont="1" applyFill="1" applyBorder="1" applyAlignment="1" applyProtection="1">
      <alignment horizontal="center"/>
      <protection hidden="1"/>
    </xf>
    <xf numFmtId="189" fontId="39" fillId="24" borderId="46" xfId="0" applyNumberFormat="1" applyFont="1" applyFill="1" applyBorder="1" applyAlignment="1" applyProtection="1">
      <alignment horizontal="right"/>
      <protection hidden="1"/>
    </xf>
    <xf numFmtId="189" fontId="39" fillId="24" borderId="47" xfId="0" applyNumberFormat="1" applyFont="1" applyFill="1" applyBorder="1" applyAlignment="1" applyProtection="1">
      <alignment horizontal="right"/>
      <protection hidden="1"/>
    </xf>
    <xf numFmtId="0" fontId="55" fillId="24" borderId="48" xfId="0" applyFont="1" applyFill="1" applyBorder="1" applyAlignment="1" applyProtection="1">
      <alignment horizontal="centerContinuous"/>
      <protection hidden="1"/>
    </xf>
    <xf numFmtId="0" fontId="55" fillId="24" borderId="12" xfId="0" applyFont="1" applyFill="1" applyBorder="1" applyAlignment="1" applyProtection="1">
      <alignment horizontal="center" vertical="top"/>
      <protection hidden="1"/>
    </xf>
    <xf numFmtId="0" fontId="89" fillId="0" borderId="17" xfId="0" applyFont="1" applyFill="1" applyBorder="1" applyAlignment="1" applyProtection="1">
      <alignment horizontal="center" vertical="center"/>
      <protection hidden="1"/>
    </xf>
    <xf numFmtId="0" fontId="0" fillId="0" borderId="49" xfId="0" applyBorder="1" applyAlignment="1" applyProtection="1">
      <alignment/>
      <protection hidden="1"/>
    </xf>
    <xf numFmtId="189" fontId="39" fillId="24" borderId="50" xfId="0" applyNumberFormat="1" applyFont="1" applyFill="1" applyBorder="1" applyAlignment="1" applyProtection="1">
      <alignment horizontal="right"/>
      <protection hidden="1"/>
    </xf>
    <xf numFmtId="189" fontId="39" fillId="24" borderId="51" xfId="0" applyNumberFormat="1" applyFont="1" applyFill="1" applyBorder="1" applyAlignment="1" applyProtection="1">
      <alignment horizontal="right"/>
      <protection hidden="1"/>
    </xf>
    <xf numFmtId="0" fontId="0" fillId="0" borderId="52" xfId="0" applyBorder="1" applyAlignment="1" applyProtection="1">
      <alignment horizontal="right"/>
      <protection hidden="1"/>
    </xf>
    <xf numFmtId="0" fontId="0" fillId="0" borderId="53" xfId="0" applyBorder="1" applyAlignment="1" applyProtection="1">
      <alignment horizontal="right"/>
      <protection hidden="1"/>
    </xf>
    <xf numFmtId="0" fontId="0" fillId="0" borderId="54" xfId="0" applyBorder="1" applyAlignment="1" applyProtection="1">
      <alignment horizontal="right"/>
      <protection hidden="1"/>
    </xf>
    <xf numFmtId="0" fontId="1" fillId="0" borderId="55" xfId="0" applyFont="1" applyBorder="1" applyAlignment="1" applyProtection="1">
      <alignment horizontal="center"/>
      <protection hidden="1"/>
    </xf>
    <xf numFmtId="0" fontId="1" fillId="20" borderId="56" xfId="0" applyFont="1" applyFill="1" applyBorder="1" applyAlignment="1" applyProtection="1">
      <alignment horizontal="right" vertical="center"/>
      <protection hidden="1"/>
    </xf>
    <xf numFmtId="0" fontId="58" fillId="24" borderId="0" xfId="0" applyFont="1" applyFill="1" applyAlignment="1" applyProtection="1">
      <alignment horizontal="centerContinuous" vertical="center"/>
      <protection hidden="1"/>
    </xf>
    <xf numFmtId="0" fontId="11" fillId="24" borderId="0" xfId="0" applyFont="1" applyFill="1" applyAlignment="1" applyProtection="1">
      <alignment horizontal="centerContinuous" vertical="center"/>
      <protection hidden="1"/>
    </xf>
    <xf numFmtId="0" fontId="61" fillId="24" borderId="0" xfId="0" applyFont="1" applyFill="1" applyAlignment="1" applyProtection="1">
      <alignment horizontal="centerContinuous" vertical="center"/>
      <protection hidden="1"/>
    </xf>
    <xf numFmtId="0" fontId="8" fillId="24" borderId="0" xfId="0" applyFont="1" applyFill="1" applyAlignment="1" applyProtection="1">
      <alignment horizontal="centerContinuous"/>
      <protection hidden="1"/>
    </xf>
    <xf numFmtId="0" fontId="21" fillId="24" borderId="15" xfId="0" applyFont="1" applyFill="1" applyBorder="1" applyAlignment="1" applyProtection="1">
      <alignment horizontal="right" vertical="center"/>
      <protection/>
    </xf>
    <xf numFmtId="0" fontId="62" fillId="24" borderId="15" xfId="0" applyFont="1" applyFill="1" applyBorder="1" applyAlignment="1" applyProtection="1">
      <alignment horizontal="right" vertical="center"/>
      <protection/>
    </xf>
    <xf numFmtId="0" fontId="62" fillId="24" borderId="0" xfId="0" applyFont="1" applyFill="1" applyBorder="1" applyAlignment="1" applyProtection="1">
      <alignment horizontal="right" vertical="center"/>
      <protection/>
    </xf>
    <xf numFmtId="0" fontId="37" fillId="24" borderId="0" xfId="0" applyFont="1" applyFill="1" applyAlignment="1" applyProtection="1">
      <alignment horizontal="left" wrapText="1"/>
      <protection/>
    </xf>
    <xf numFmtId="0" fontId="38" fillId="24" borderId="0" xfId="0" applyFont="1" applyFill="1" applyAlignment="1" applyProtection="1">
      <alignment horizontal="left" vertical="center" wrapText="1"/>
      <protection/>
    </xf>
    <xf numFmtId="0" fontId="71" fillId="24" borderId="0" xfId="0" applyFont="1" applyFill="1" applyAlignment="1" applyProtection="1">
      <alignment horizontal="left"/>
      <protection hidden="1"/>
    </xf>
    <xf numFmtId="0" fontId="1" fillId="24" borderId="16" xfId="0" applyFont="1" applyFill="1" applyBorder="1" applyAlignment="1" applyProtection="1">
      <alignment horizontal="center"/>
      <protection hidden="1"/>
    </xf>
    <xf numFmtId="0" fontId="16" fillId="24" borderId="0" xfId="0" applyFont="1" applyFill="1" applyBorder="1" applyAlignment="1" applyProtection="1">
      <alignment horizontal="left" vertical="center"/>
      <protection hidden="1"/>
    </xf>
    <xf numFmtId="0" fontId="1" fillId="24" borderId="15" xfId="0" applyFont="1" applyFill="1" applyBorder="1" applyAlignment="1" applyProtection="1">
      <alignment horizontal="center"/>
      <protection hidden="1"/>
    </xf>
    <xf numFmtId="0" fontId="0" fillId="24" borderId="0" xfId="0" applyFill="1" applyBorder="1" applyAlignment="1" applyProtection="1">
      <alignment/>
      <protection hidden="1"/>
    </xf>
    <xf numFmtId="0" fontId="36" fillId="24" borderId="0" xfId="0" applyFont="1" applyFill="1" applyAlignment="1" applyProtection="1">
      <alignment/>
      <protection hidden="1"/>
    </xf>
    <xf numFmtId="0" fontId="0" fillId="24" borderId="57" xfId="0" applyNumberFormat="1" applyFont="1" applyFill="1" applyBorder="1" applyAlignment="1" applyProtection="1">
      <alignment horizontal="left" vertical="center"/>
      <protection hidden="1"/>
    </xf>
    <xf numFmtId="0" fontId="4" fillId="24" borderId="13" xfId="0" applyNumberFormat="1"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0" fillId="24" borderId="13" xfId="0" applyNumberFormat="1" applyFont="1" applyFill="1" applyBorder="1" applyAlignment="1" applyProtection="1">
      <alignment horizontal="left" vertical="center"/>
      <protection hidden="1"/>
    </xf>
    <xf numFmtId="0" fontId="0" fillId="24" borderId="13" xfId="0" applyNumberFormat="1" applyFill="1" applyBorder="1" applyAlignment="1" applyProtection="1">
      <alignment vertical="center"/>
      <protection hidden="1"/>
    </xf>
    <xf numFmtId="0" fontId="18" fillId="24" borderId="35" xfId="0" applyFont="1" applyFill="1" applyBorder="1" applyAlignment="1" applyProtection="1">
      <alignment horizontal="center" vertical="center"/>
      <protection locked="0"/>
    </xf>
    <xf numFmtId="0" fontId="18" fillId="24" borderId="0" xfId="0" applyFont="1" applyFill="1" applyBorder="1" applyAlignment="1" applyProtection="1">
      <alignment vertical="center"/>
      <protection hidden="1"/>
    </xf>
    <xf numFmtId="0" fontId="0" fillId="24" borderId="14" xfId="0" applyFill="1" applyBorder="1" applyAlignment="1" applyProtection="1">
      <alignment/>
      <protection hidden="1"/>
    </xf>
    <xf numFmtId="0" fontId="20" fillId="24" borderId="0" xfId="0" applyFont="1" applyFill="1" applyBorder="1" applyAlignment="1" applyProtection="1">
      <alignment horizontal="left" vertical="center"/>
      <protection hidden="1"/>
    </xf>
    <xf numFmtId="0" fontId="0" fillId="24" borderId="0" xfId="0" applyFont="1" applyFill="1" applyAlignment="1" applyProtection="1">
      <alignment/>
      <protection hidden="1"/>
    </xf>
    <xf numFmtId="0" fontId="46" fillId="24" borderId="0" xfId="0" applyFont="1" applyFill="1" applyAlignment="1" applyProtection="1">
      <alignment horizontal="right"/>
      <protection hidden="1"/>
    </xf>
    <xf numFmtId="0" fontId="60" fillId="24" borderId="0" xfId="0" applyFont="1" applyFill="1" applyAlignment="1" applyProtection="1">
      <alignment/>
      <protection hidden="1"/>
    </xf>
    <xf numFmtId="0" fontId="28" fillId="24" borderId="0" xfId="0" applyFont="1" applyFill="1" applyAlignment="1">
      <alignment horizontal="left"/>
    </xf>
    <xf numFmtId="0" fontId="1" fillId="24" borderId="0" xfId="0" applyFont="1" applyFill="1" applyAlignment="1" applyProtection="1">
      <alignment vertical="center"/>
      <protection hidden="1"/>
    </xf>
    <xf numFmtId="0" fontId="0" fillId="24" borderId="0" xfId="0" applyNumberFormat="1" applyFill="1" applyAlignment="1" applyProtection="1">
      <alignment horizontal="left" vertical="center"/>
      <protection hidden="1"/>
    </xf>
    <xf numFmtId="0" fontId="0" fillId="24" borderId="0" xfId="0" applyFont="1" applyFill="1" applyAlignment="1" applyProtection="1">
      <alignment horizontal="center"/>
      <protection hidden="1"/>
    </xf>
    <xf numFmtId="0" fontId="0" fillId="24" borderId="0" xfId="0" applyFill="1" applyAlignment="1" applyProtection="1">
      <alignment horizontal="left" vertical="center"/>
      <protection hidden="1"/>
    </xf>
    <xf numFmtId="0" fontId="0" fillId="24" borderId="0" xfId="0" applyFill="1" applyAlignment="1" applyProtection="1">
      <alignment horizontal="center" vertical="center"/>
      <protection hidden="1"/>
    </xf>
    <xf numFmtId="0" fontId="0" fillId="24" borderId="0" xfId="0" applyFont="1" applyFill="1" applyAlignment="1" applyProtection="1">
      <alignment vertical="center"/>
      <protection hidden="1"/>
    </xf>
    <xf numFmtId="0" fontId="0" fillId="24" borderId="0" xfId="0" applyNumberFormat="1" applyFont="1" applyFill="1" applyAlignment="1" applyProtection="1">
      <alignment horizontal="left" vertical="center"/>
      <protection hidden="1"/>
    </xf>
    <xf numFmtId="0" fontId="46" fillId="24" borderId="0" xfId="0" applyNumberFormat="1" applyFont="1" applyFill="1" applyAlignment="1" applyProtection="1">
      <alignment horizontal="left" vertical="center"/>
      <protection hidden="1"/>
    </xf>
    <xf numFmtId="0" fontId="0" fillId="24" borderId="0" xfId="0" applyFont="1" applyFill="1" applyAlignment="1" applyProtection="1">
      <alignment vertical="center"/>
      <protection hidden="1"/>
    </xf>
    <xf numFmtId="0" fontId="1" fillId="24" borderId="0" xfId="0" applyNumberFormat="1" applyFont="1" applyFill="1" applyAlignment="1" applyProtection="1">
      <alignment horizontal="left" vertical="center"/>
      <protection hidden="1"/>
    </xf>
    <xf numFmtId="0" fontId="4" fillId="24" borderId="0" xfId="0" applyNumberFormat="1" applyFont="1" applyFill="1" applyAlignment="1" applyProtection="1">
      <alignment horizontal="left" vertical="center"/>
      <protection hidden="1"/>
    </xf>
    <xf numFmtId="0" fontId="107" fillId="24" borderId="0" xfId="0" applyFont="1" applyFill="1" applyAlignment="1" applyProtection="1">
      <alignment horizontal="left"/>
      <protection hidden="1"/>
    </xf>
    <xf numFmtId="0" fontId="105" fillId="24" borderId="0" xfId="0" applyFont="1" applyFill="1" applyAlignment="1" applyProtection="1">
      <alignment horizontal="right" vertical="center"/>
      <protection hidden="1"/>
    </xf>
    <xf numFmtId="0" fontId="21" fillId="24" borderId="0" xfId="0" applyFont="1" applyFill="1" applyAlignment="1" applyProtection="1">
      <alignment/>
      <protection hidden="1"/>
    </xf>
    <xf numFmtId="0" fontId="46" fillId="24" borderId="0" xfId="0" applyFont="1" applyFill="1" applyAlignment="1" applyProtection="1">
      <alignment/>
      <protection hidden="1"/>
    </xf>
    <xf numFmtId="0" fontId="67" fillId="24" borderId="0" xfId="51" applyNumberFormat="1" applyFont="1" applyFill="1" applyAlignment="1" applyProtection="1">
      <alignment horizontal="left" vertical="center"/>
      <protection hidden="1"/>
    </xf>
    <xf numFmtId="0" fontId="0" fillId="24" borderId="0" xfId="0" applyFill="1" applyAlignment="1" applyProtection="1">
      <alignment vertical="center" wrapText="1"/>
      <protection hidden="1"/>
    </xf>
    <xf numFmtId="0" fontId="0" fillId="24" borderId="0" xfId="0" applyFill="1" applyAlignment="1" applyProtection="1">
      <alignment/>
      <protection hidden="1"/>
    </xf>
    <xf numFmtId="0" fontId="28" fillId="24" borderId="0" xfId="51" applyNumberFormat="1" applyFont="1" applyFill="1" applyAlignment="1" applyProtection="1">
      <alignment horizontal="left" vertical="center"/>
      <protection hidden="1"/>
    </xf>
    <xf numFmtId="0" fontId="0" fillId="24" borderId="0" xfId="0" applyFont="1" applyFill="1" applyAlignment="1" applyProtection="1">
      <alignment/>
      <protection hidden="1"/>
    </xf>
    <xf numFmtId="0" fontId="0" fillId="24" borderId="0" xfId="51" applyNumberFormat="1" applyFont="1" applyFill="1" applyAlignment="1" applyProtection="1">
      <alignment horizontal="left"/>
      <protection hidden="1"/>
    </xf>
    <xf numFmtId="0" fontId="46" fillId="24" borderId="0" xfId="51" applyNumberFormat="1" applyFont="1" applyFill="1" applyAlignment="1" applyProtection="1">
      <alignment horizontal="left"/>
      <protection hidden="1"/>
    </xf>
    <xf numFmtId="0" fontId="24" fillId="24" borderId="0" xfId="0" applyFont="1" applyFill="1" applyAlignment="1" applyProtection="1">
      <alignment vertical="center"/>
      <protection hidden="1"/>
    </xf>
    <xf numFmtId="0" fontId="24" fillId="24" borderId="0" xfId="0" applyNumberFormat="1" applyFont="1" applyFill="1" applyAlignment="1" applyProtection="1">
      <alignment horizontal="left" vertical="center"/>
      <protection hidden="1"/>
    </xf>
    <xf numFmtId="0" fontId="39" fillId="24" borderId="0" xfId="0" applyFont="1" applyFill="1" applyAlignment="1" applyProtection="1">
      <alignment vertical="center"/>
      <protection hidden="1"/>
    </xf>
    <xf numFmtId="0" fontId="46" fillId="24" borderId="0" xfId="0" applyNumberFormat="1" applyFont="1" applyFill="1" applyAlignment="1" applyProtection="1">
      <alignment horizontal="left"/>
      <protection hidden="1"/>
    </xf>
    <xf numFmtId="0" fontId="4" fillId="24" borderId="0" xfId="0" applyFont="1" applyFill="1" applyAlignment="1" applyProtection="1">
      <alignment horizontal="centerContinuous" vertical="center"/>
      <protection hidden="1"/>
    </xf>
    <xf numFmtId="0" fontId="55" fillId="24" borderId="0" xfId="0" applyFont="1" applyFill="1" applyAlignment="1" applyProtection="1">
      <alignment/>
      <protection hidden="1"/>
    </xf>
    <xf numFmtId="171" fontId="0" fillId="24" borderId="0" xfId="0" applyNumberFormat="1" applyFill="1" applyAlignment="1" applyProtection="1">
      <alignment/>
      <protection hidden="1"/>
    </xf>
    <xf numFmtId="0" fontId="103" fillId="24" borderId="0" xfId="0" applyFont="1" applyFill="1" applyBorder="1" applyAlignment="1" applyProtection="1">
      <alignment horizontal="left" vertical="center"/>
      <protection hidden="1"/>
    </xf>
    <xf numFmtId="0" fontId="0" fillId="24" borderId="0" xfId="0" applyFont="1" applyFill="1" applyBorder="1" applyAlignment="1" applyProtection="1">
      <alignment/>
      <protection hidden="1"/>
    </xf>
    <xf numFmtId="0" fontId="28" fillId="24" borderId="0" xfId="0" applyFont="1" applyFill="1" applyBorder="1" applyAlignment="1" applyProtection="1">
      <alignment horizontal="center"/>
      <protection hidden="1"/>
    </xf>
    <xf numFmtId="169" fontId="0" fillId="24" borderId="0" xfId="0" applyNumberFormat="1" applyFill="1" applyAlignment="1" applyProtection="1">
      <alignment horizontal="left"/>
      <protection hidden="1"/>
    </xf>
    <xf numFmtId="0" fontId="68" fillId="24" borderId="0" xfId="0" applyFont="1" applyFill="1" applyAlignment="1" applyProtection="1">
      <alignment/>
      <protection hidden="1"/>
    </xf>
    <xf numFmtId="0" fontId="23" fillId="24" borderId="0" xfId="0" applyFont="1" applyFill="1" applyAlignment="1" applyProtection="1">
      <alignment/>
      <protection hidden="1"/>
    </xf>
    <xf numFmtId="0" fontId="31" fillId="24" borderId="0" xfId="0" applyFont="1" applyFill="1" applyAlignment="1" applyProtection="1">
      <alignment horizontal="left" vertical="center" wrapText="1"/>
      <protection hidden="1"/>
    </xf>
    <xf numFmtId="0" fontId="1" fillId="24" borderId="0" xfId="0" applyFont="1" applyFill="1" applyAlignment="1" applyProtection="1">
      <alignment vertical="center"/>
      <protection hidden="1"/>
    </xf>
    <xf numFmtId="169" fontId="0" fillId="24" borderId="0" xfId="0" applyNumberFormat="1" applyFill="1" applyAlignment="1" applyProtection="1">
      <alignment horizontal="left" vertical="center"/>
      <protection hidden="1"/>
    </xf>
    <xf numFmtId="0" fontId="31" fillId="24" borderId="0" xfId="0" applyFont="1" applyFill="1" applyAlignment="1" applyProtection="1">
      <alignment vertical="center" wrapText="1"/>
      <protection hidden="1"/>
    </xf>
    <xf numFmtId="0" fontId="0" fillId="24" borderId="0" xfId="0" applyFill="1" applyAlignment="1" applyProtection="1">
      <alignment horizontal="center"/>
      <protection hidden="1"/>
    </xf>
    <xf numFmtId="0" fontId="0" fillId="24" borderId="15" xfId="0" applyFill="1" applyBorder="1" applyAlignment="1" applyProtection="1">
      <alignment/>
      <protection hidden="1"/>
    </xf>
    <xf numFmtId="0" fontId="56" fillId="24" borderId="0" xfId="0" applyFont="1" applyFill="1" applyAlignment="1" applyProtection="1">
      <alignment/>
      <protection hidden="1"/>
    </xf>
    <xf numFmtId="0" fontId="15" fillId="24" borderId="0" xfId="0" applyFont="1" applyFill="1" applyAlignment="1" applyProtection="1">
      <alignment/>
      <protection hidden="1"/>
    </xf>
    <xf numFmtId="0" fontId="0" fillId="24" borderId="31" xfId="0" applyNumberFormat="1" applyFill="1" applyBorder="1" applyAlignment="1" applyProtection="1">
      <alignment vertical="center"/>
      <protection hidden="1"/>
    </xf>
    <xf numFmtId="0" fontId="0" fillId="24" borderId="12" xfId="0" applyNumberFormat="1" applyFill="1" applyBorder="1" applyAlignment="1" applyProtection="1">
      <alignment vertical="center"/>
      <protection hidden="1"/>
    </xf>
    <xf numFmtId="0" fontId="52" fillId="24" borderId="0" xfId="0" applyFont="1" applyFill="1" applyAlignment="1" applyProtection="1">
      <alignment/>
      <protection hidden="1"/>
    </xf>
    <xf numFmtId="0" fontId="0" fillId="24" borderId="0" xfId="0" applyNumberFormat="1" applyFill="1" applyAlignment="1" applyProtection="1">
      <alignment/>
      <protection hidden="1"/>
    </xf>
    <xf numFmtId="0" fontId="0" fillId="28" borderId="0" xfId="0" applyFill="1" applyAlignment="1" applyProtection="1">
      <alignment/>
      <protection hidden="1"/>
    </xf>
    <xf numFmtId="0" fontId="38" fillId="28" borderId="0" xfId="0" applyFont="1" applyFill="1" applyAlignment="1" applyProtection="1">
      <alignment horizontal="left" vertical="center" wrapText="1"/>
      <protection/>
    </xf>
    <xf numFmtId="0" fontId="8" fillId="28" borderId="0" xfId="0" applyFont="1" applyFill="1" applyAlignment="1" applyProtection="1">
      <alignment horizontal="centerContinuous"/>
      <protection hidden="1"/>
    </xf>
    <xf numFmtId="0" fontId="0" fillId="28" borderId="0" xfId="0" applyFill="1" applyAlignment="1" applyProtection="1">
      <alignment vertical="center"/>
      <protection hidden="1"/>
    </xf>
    <xf numFmtId="0" fontId="0" fillId="28" borderId="0" xfId="0" applyFill="1" applyAlignment="1" applyProtection="1">
      <alignment horizontal="centerContinuous" vertical="center"/>
      <protection hidden="1"/>
    </xf>
    <xf numFmtId="0" fontId="0" fillId="28" borderId="0" xfId="0" applyFill="1" applyBorder="1" applyAlignment="1" applyProtection="1">
      <alignment wrapText="1"/>
      <protection hidden="1"/>
    </xf>
    <xf numFmtId="171" fontId="0" fillId="28" borderId="0" xfId="0" applyNumberFormat="1" applyFill="1" applyAlignment="1" applyProtection="1">
      <alignment/>
      <protection hidden="1"/>
    </xf>
    <xf numFmtId="0" fontId="0" fillId="28" borderId="0" xfId="0" applyFill="1" applyAlignment="1" applyProtection="1">
      <alignment vertical="center" wrapText="1"/>
      <protection/>
    </xf>
    <xf numFmtId="0" fontId="31" fillId="28" borderId="0" xfId="0" applyFont="1" applyFill="1" applyAlignment="1" applyProtection="1">
      <alignment horizontal="left" vertical="center" wrapText="1"/>
      <protection hidden="1"/>
    </xf>
    <xf numFmtId="0" fontId="0" fillId="28" borderId="0" xfId="0" applyFill="1" applyAlignment="1" applyProtection="1">
      <alignment vertical="center" wrapText="1"/>
      <protection hidden="1"/>
    </xf>
    <xf numFmtId="0" fontId="0" fillId="28" borderId="0" xfId="0" applyFill="1" applyAlignment="1" applyProtection="1">
      <alignment horizontal="center"/>
      <protection hidden="1"/>
    </xf>
    <xf numFmtId="0" fontId="10" fillId="0" borderId="58" xfId="0" applyFont="1" applyFill="1" applyBorder="1" applyAlignment="1" applyProtection="1">
      <alignment horizontal="center"/>
      <protection hidden="1"/>
    </xf>
    <xf numFmtId="0" fontId="0" fillId="0" borderId="27" xfId="0" applyNumberFormat="1" applyFill="1" applyBorder="1" applyAlignment="1" applyProtection="1">
      <alignment horizontal="right" vertical="center"/>
      <protection locked="0"/>
    </xf>
    <xf numFmtId="0" fontId="0" fillId="0" borderId="27" xfId="0" applyNumberFormat="1" applyFill="1" applyBorder="1" applyAlignment="1" applyProtection="1">
      <alignment vertical="center"/>
      <protection locked="0"/>
    </xf>
    <xf numFmtId="0" fontId="0" fillId="0" borderId="31" xfId="0" applyNumberFormat="1" applyFill="1" applyBorder="1" applyAlignment="1" applyProtection="1">
      <alignment horizontal="right" vertical="center"/>
      <protection locked="0"/>
    </xf>
    <xf numFmtId="0" fontId="0" fillId="0" borderId="31" xfId="0" applyNumberFormat="1" applyFill="1" applyBorder="1" applyAlignment="1" applyProtection="1">
      <alignment vertical="center"/>
      <protection locked="0"/>
    </xf>
    <xf numFmtId="0" fontId="122" fillId="24" borderId="0" xfId="0" applyFont="1" applyFill="1" applyAlignment="1" applyProtection="1">
      <alignment/>
      <protection hidden="1"/>
    </xf>
    <xf numFmtId="0" fontId="123" fillId="24" borderId="0" xfId="48" applyFont="1" applyFill="1" applyAlignment="1" applyProtection="1">
      <alignment/>
      <protection hidden="1"/>
    </xf>
    <xf numFmtId="0" fontId="124" fillId="24" borderId="0" xfId="0" applyFont="1" applyFill="1" applyAlignment="1" applyProtection="1">
      <alignment horizontal="left"/>
      <protection hidden="1"/>
    </xf>
    <xf numFmtId="0" fontId="86" fillId="0" borderId="0" xfId="0" applyFont="1" applyAlignment="1" applyProtection="1">
      <alignment horizontal="left"/>
      <protection hidden="1"/>
    </xf>
    <xf numFmtId="0" fontId="0" fillId="0" borderId="0" xfId="0" applyAlignment="1" applyProtection="1">
      <alignment horizontal="left"/>
      <protection hidden="1"/>
    </xf>
    <xf numFmtId="0" fontId="18" fillId="24" borderId="33" xfId="0" applyFont="1" applyFill="1" applyBorder="1" applyAlignment="1" applyProtection="1">
      <alignment horizontal="left" vertical="center"/>
      <protection locked="0"/>
    </xf>
    <xf numFmtId="0" fontId="18" fillId="24" borderId="34" xfId="0" applyFont="1" applyFill="1" applyBorder="1" applyAlignment="1" applyProtection="1">
      <alignment horizontal="left" vertical="center"/>
      <protection locked="0"/>
    </xf>
    <xf numFmtId="0" fontId="31" fillId="24" borderId="0" xfId="0" applyFont="1" applyFill="1" applyAlignment="1" applyProtection="1">
      <alignment horizontal="left" wrapText="1"/>
      <protection hidden="1"/>
    </xf>
    <xf numFmtId="0" fontId="0" fillId="24" borderId="0" xfId="0" applyNumberFormat="1" applyFont="1" applyFill="1" applyAlignment="1" applyProtection="1">
      <alignment horizontal="left"/>
      <protection hidden="1"/>
    </xf>
    <xf numFmtId="0" fontId="31" fillId="24" borderId="0" xfId="0" applyFont="1" applyFill="1" applyBorder="1" applyAlignment="1" applyProtection="1">
      <alignment horizontal="center" vertical="center" wrapText="1"/>
      <protection hidden="1"/>
    </xf>
    <xf numFmtId="177" fontId="99" fillId="4" borderId="11" xfId="0" applyNumberFormat="1" applyFont="1" applyFill="1" applyBorder="1" applyAlignment="1" applyProtection="1">
      <alignment horizontal="left" vertical="center"/>
      <protection hidden="1"/>
    </xf>
    <xf numFmtId="177" fontId="99" fillId="4" borderId="0" xfId="0" applyNumberFormat="1" applyFont="1" applyFill="1" applyBorder="1" applyAlignment="1" applyProtection="1">
      <alignment horizontal="left" vertical="center"/>
      <protection hidden="1"/>
    </xf>
    <xf numFmtId="177" fontId="99" fillId="4" borderId="14" xfId="0" applyNumberFormat="1" applyFont="1" applyFill="1" applyBorder="1" applyAlignment="1" applyProtection="1">
      <alignment horizontal="left" vertical="center"/>
      <protection hidden="1"/>
    </xf>
    <xf numFmtId="177" fontId="99" fillId="4" borderId="15" xfId="0" applyNumberFormat="1" applyFont="1" applyFill="1" applyBorder="1" applyAlignment="1" applyProtection="1">
      <alignment horizontal="left" vertical="center"/>
      <protection hidden="1"/>
    </xf>
    <xf numFmtId="0" fontId="97" fillId="0" borderId="59" xfId="0" applyFont="1" applyBorder="1" applyAlignment="1" applyProtection="1">
      <alignment horizontal="left"/>
      <protection locked="0"/>
    </xf>
    <xf numFmtId="0" fontId="97" fillId="0" borderId="60" xfId="0" applyFont="1" applyBorder="1" applyAlignment="1" applyProtection="1">
      <alignment horizontal="left"/>
      <protection locked="0"/>
    </xf>
    <xf numFmtId="0" fontId="97" fillId="0" borderId="14" xfId="0" applyFont="1" applyBorder="1" applyAlignment="1" applyProtection="1">
      <alignment horizontal="left"/>
      <protection locked="0"/>
    </xf>
    <xf numFmtId="0" fontId="97" fillId="0" borderId="12" xfId="0" applyFont="1" applyBorder="1" applyAlignment="1" applyProtection="1">
      <alignment horizontal="left"/>
      <protection locked="0"/>
    </xf>
    <xf numFmtId="0" fontId="0" fillId="0" borderId="61" xfId="0" applyBorder="1" applyAlignment="1" applyProtection="1">
      <alignment horizontal="right"/>
      <protection hidden="1"/>
    </xf>
    <xf numFmtId="0" fontId="0" fillId="0" borderId="62" xfId="0" applyBorder="1" applyAlignment="1" applyProtection="1">
      <alignment horizontal="right"/>
      <protection hidden="1"/>
    </xf>
    <xf numFmtId="0" fontId="0" fillId="0" borderId="63" xfId="0" applyBorder="1" applyAlignment="1" applyProtection="1">
      <alignment horizontal="right"/>
      <protection hidden="1"/>
    </xf>
    <xf numFmtId="0" fontId="0" fillId="0" borderId="32" xfId="0" applyBorder="1" applyAlignment="1" applyProtection="1">
      <alignment horizontal="right"/>
      <protection hidden="1"/>
    </xf>
    <xf numFmtId="0" fontId="97" fillId="0" borderId="15" xfId="0" applyFont="1" applyBorder="1" applyAlignment="1" applyProtection="1">
      <alignment horizontal="left"/>
      <protection locked="0"/>
    </xf>
    <xf numFmtId="0" fontId="97" fillId="0" borderId="33" xfId="0" applyFont="1" applyBorder="1" applyAlignment="1" applyProtection="1">
      <alignment horizontal="left"/>
      <protection locked="0"/>
    </xf>
    <xf numFmtId="0" fontId="97" fillId="0" borderId="29" xfId="0" applyFont="1" applyBorder="1" applyAlignment="1" applyProtection="1">
      <alignment horizontal="left"/>
      <protection locked="0"/>
    </xf>
    <xf numFmtId="0" fontId="97" fillId="0" borderId="34" xfId="0" applyFont="1" applyBorder="1" applyAlignment="1" applyProtection="1">
      <alignment horizontal="left"/>
      <protection locked="0"/>
    </xf>
    <xf numFmtId="0" fontId="1" fillId="0" borderId="0" xfId="0" applyFont="1" applyAlignment="1" applyProtection="1">
      <alignment horizontal="left" vertical="top" wrapText="1"/>
      <protection hidden="1"/>
    </xf>
    <xf numFmtId="0" fontId="0" fillId="0" borderId="64" xfId="0" applyFont="1" applyBorder="1" applyAlignment="1" applyProtection="1">
      <alignment/>
      <protection locked="0"/>
    </xf>
    <xf numFmtId="14" fontId="97" fillId="0" borderId="14" xfId="0" applyNumberFormat="1" applyFont="1" applyBorder="1" applyAlignment="1" applyProtection="1">
      <alignment horizontal="left"/>
      <protection locked="0"/>
    </xf>
    <xf numFmtId="0" fontId="0" fillId="0" borderId="65" xfId="0" applyBorder="1" applyAlignment="1" applyProtection="1">
      <alignment/>
      <protection hidden="1"/>
    </xf>
    <xf numFmtId="0" fontId="0" fillId="0" borderId="40" xfId="0" applyBorder="1" applyAlignment="1" applyProtection="1">
      <alignment/>
      <protection hidden="1"/>
    </xf>
    <xf numFmtId="0" fontId="1" fillId="0" borderId="66"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0" fillId="0" borderId="67" xfId="0" applyBorder="1" applyAlignment="1" applyProtection="1">
      <alignment horizontal="right"/>
      <protection hidden="1"/>
    </xf>
    <xf numFmtId="0" fontId="0" fillId="0" borderId="68" xfId="0" applyBorder="1" applyAlignment="1" applyProtection="1">
      <alignment horizontal="right"/>
      <protection hidden="1"/>
    </xf>
    <xf numFmtId="0" fontId="86" fillId="0" borderId="69" xfId="0" applyFont="1" applyBorder="1" applyAlignment="1" applyProtection="1">
      <alignment horizontal="left"/>
      <protection hidden="1"/>
    </xf>
    <xf numFmtId="0" fontId="86" fillId="0" borderId="64"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86" fillId="0" borderId="69" xfId="0" applyFont="1" applyBorder="1" applyAlignment="1" applyProtection="1">
      <alignment horizontal="left"/>
      <protection locked="0"/>
    </xf>
    <xf numFmtId="0" fontId="10" fillId="0" borderId="35" xfId="0" applyFont="1" applyFill="1" applyBorder="1" applyAlignment="1" applyProtection="1">
      <alignment horizontal="center"/>
      <protection hidden="1"/>
    </xf>
    <xf numFmtId="0" fontId="12" fillId="20" borderId="31" xfId="0" applyFont="1" applyFill="1" applyBorder="1" applyAlignment="1" applyProtection="1">
      <alignment horizontal="center" vertical="center"/>
      <protection hidden="1"/>
    </xf>
    <xf numFmtId="0" fontId="12" fillId="20" borderId="12" xfId="0" applyFont="1" applyFill="1" applyBorder="1" applyAlignment="1" applyProtection="1">
      <alignment horizontal="center"/>
      <protection hidden="1"/>
    </xf>
    <xf numFmtId="0" fontId="1" fillId="20" borderId="31" xfId="0" applyFont="1" applyFill="1" applyBorder="1" applyAlignment="1" applyProtection="1">
      <alignment horizontal="center" vertical="center"/>
      <protection hidden="1"/>
    </xf>
    <xf numFmtId="0" fontId="0" fillId="20" borderId="12" xfId="0" applyFill="1" applyBorder="1" applyAlignment="1" applyProtection="1">
      <alignment horizontal="left" vertical="center"/>
      <protection hidden="1"/>
    </xf>
    <xf numFmtId="169" fontId="0" fillId="0" borderId="0" xfId="0" applyNumberFormat="1" applyAlignment="1">
      <alignment/>
    </xf>
    <xf numFmtId="169" fontId="0" fillId="0" borderId="15" xfId="0" applyNumberFormat="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4">
    <dxf>
      <font>
        <color rgb="FFFF0000"/>
      </font>
      <border/>
    </dxf>
    <dxf>
      <font>
        <color auto="1"/>
      </font>
      <border/>
    </dxf>
    <dxf>
      <font>
        <b/>
        <i val="0"/>
        <color rgb="FFFF0000"/>
      </font>
      <border/>
    </dxf>
    <dxf>
      <font>
        <color rgb="FFFF0000"/>
      </font>
      <fill>
        <patternFill patternType="none">
          <bgColor indexed="65"/>
        </patternFill>
      </fill>
      <border/>
    </dxf>
    <dxf>
      <font>
        <b/>
        <i val="0"/>
        <color rgb="FF008000"/>
      </font>
      <border/>
    </dxf>
    <dxf>
      <font>
        <color rgb="FF969696"/>
      </font>
      <border/>
    </dxf>
    <dxf>
      <font>
        <b/>
        <i val="0"/>
        <color rgb="FFFF0000"/>
      </font>
      <border>
        <left>
          <color rgb="FF000000"/>
        </left>
        <right>
          <color rgb="FF000000"/>
        </right>
        <top>
          <color rgb="FF000000"/>
        </top>
        <bottom>
          <color rgb="FF000000"/>
        </bottom>
      </border>
    </dxf>
    <dxf>
      <font>
        <color rgb="FF0000FF"/>
      </font>
      <border/>
    </dxf>
    <dxf>
      <font>
        <b/>
        <i val="0"/>
        <color rgb="FFFF0000"/>
      </font>
      <fill>
        <patternFill>
          <bgColor rgb="FFFFFF00"/>
        </patternFill>
      </fill>
      <border/>
    </dxf>
    <dxf>
      <font>
        <b/>
        <i val="0"/>
        <color rgb="FF0000FF"/>
      </font>
      <border/>
    </dxf>
    <dxf>
      <font>
        <strike/>
        <color rgb="FFFF0000"/>
      </font>
      <fill>
        <patternFill>
          <bgColor rgb="FFFFFF99"/>
        </patternFill>
      </fill>
      <border/>
    </dxf>
    <dxf>
      <font>
        <strike/>
        <color rgb="FFFFFFFF"/>
      </font>
      <fill>
        <patternFill>
          <bgColor rgb="FFFFFFFF"/>
        </patternFill>
      </fill>
      <border/>
    </dxf>
    <dxf>
      <font>
        <b/>
        <i val="0"/>
        <color rgb="FFFF0000"/>
      </font>
      <fill>
        <patternFill patternType="none">
          <bgColor indexed="65"/>
        </patternFill>
      </fill>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sng" baseline="0">
                <a:latin typeface="Arial"/>
                <a:ea typeface="Arial"/>
                <a:cs typeface="Arial"/>
              </a:rPr>
              <a:t>Messwerte mit Unsicherheitsdarstellung
Txm</a:t>
            </a:r>
            <a:r>
              <a:rPr lang="en-US" cap="none" sz="850" b="0" i="0" u="sng" baseline="0">
                <a:latin typeface="Arial"/>
                <a:ea typeface="Arial"/>
                <a:cs typeface="Arial"/>
              </a:rPr>
              <a:t> (braun)</a:t>
            </a:r>
            <a:r>
              <a:rPr lang="en-US" cap="none" sz="850" b="1" i="0" u="sng" baseline="0">
                <a:latin typeface="Arial"/>
                <a:ea typeface="Arial"/>
                <a:cs typeface="Arial"/>
              </a:rPr>
              <a:t> sowie 2 Sx</a:t>
            </a:r>
            <a:r>
              <a:rPr lang="en-US" cap="none" sz="850" b="0" i="0" u="sng" baseline="0">
                <a:latin typeface="Arial"/>
                <a:ea typeface="Arial"/>
                <a:cs typeface="Arial"/>
              </a:rPr>
              <a:t> (rot/gestrichelt)
und Sollwert (grün/durchstochen) wenn angegeben</a:t>
            </a:r>
            <a:r>
              <a:rPr lang="en-US" cap="none" sz="850" b="1" i="0" u="none" baseline="0">
                <a:latin typeface="Arial"/>
                <a:ea typeface="Arial"/>
                <a:cs typeface="Arial"/>
              </a:rPr>
              <a:t>
</a:t>
            </a:r>
          </a:p>
        </c:rich>
      </c:tx>
      <c:layout>
        <c:manualLayout>
          <c:xMode val="factor"/>
          <c:yMode val="factor"/>
          <c:x val="0.00625"/>
          <c:y val="-0.0205"/>
        </c:manualLayout>
      </c:layout>
      <c:spPr>
        <a:noFill/>
        <a:ln>
          <a:noFill/>
        </a:ln>
      </c:spPr>
    </c:title>
    <c:plotArea>
      <c:layout>
        <c:manualLayout>
          <c:xMode val="edge"/>
          <c:yMode val="edge"/>
          <c:x val="0.01975"/>
          <c:y val="0.22275"/>
          <c:w val="0.97825"/>
          <c:h val="0.77725"/>
        </c:manualLayout>
      </c:layout>
      <c:scatterChart>
        <c:scatterStyle val="lineMarker"/>
        <c:varyColors val="0"/>
        <c:ser>
          <c:idx val="0"/>
          <c:order val="0"/>
          <c:tx>
            <c:v>Mittelwert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8000"/>
                </a:solidFill>
              </a:ln>
            </c:spPr>
          </c:marker>
          <c:trendline>
            <c:spPr>
              <a:ln w="25400">
                <a:solidFill>
                  <a:srgbClr val="0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Mehrfachbest.'!$F$7:$F$66</c:f>
              <c:numCache>
                <c:ptCount val="60"/>
                <c:pt idx="0">
                  <c:v>2.5</c:v>
                </c:pt>
                <c:pt idx="1">
                  <c:v>2.5</c:v>
                </c:pt>
                <c:pt idx="2">
                  <c:v>2.5</c:v>
                </c:pt>
                <c:pt idx="3">
                  <c:v>2.5</c:v>
                </c:pt>
                <c:pt idx="4">
                  <c:v>2.5</c:v>
                </c:pt>
                <c:pt idx="5">
                  <c:v>2.5</c:v>
                </c:pt>
                <c:pt idx="6">
                  <c:v>2.5</c:v>
                </c:pt>
                <c:pt idx="7">
                  <c:v>2.5</c:v>
                </c:pt>
                <c:pt idx="8">
                  <c:v>2.5</c:v>
                </c:pt>
                <c:pt idx="9">
                  <c:v>2.5</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1"/>
          <c:order val="1"/>
          <c:tx>
            <c:v>Einzelwerte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noFill/>
              </a:ln>
            </c:spPr>
          </c:marker>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Mehrfachbest.'!$E$7:$E$66</c:f>
              <c:numCache>
                <c:ptCount val="60"/>
                <c:pt idx="0">
                  <c:v>1</c:v>
                </c:pt>
                <c:pt idx="1">
                  <c:v>2</c:v>
                </c:pt>
                <c:pt idx="2">
                  <c:v>10</c:v>
                </c:pt>
                <c:pt idx="3">
                  <c:v>2</c:v>
                </c:pt>
                <c:pt idx="4">
                  <c:v>1</c:v>
                </c:pt>
                <c:pt idx="5">
                  <c:v>2</c:v>
                </c:pt>
                <c:pt idx="6">
                  <c:v>1</c:v>
                </c:pt>
                <c:pt idx="7">
                  <c:v>3</c:v>
                </c:pt>
                <c:pt idx="8">
                  <c:v>2</c:v>
                </c:pt>
                <c:pt idx="9">
                  <c:v>1</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2"/>
          <c:order val="2"/>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8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Mehrfachbest.'!$G$7:$G$66</c:f>
              <c:numCache>
                <c:ptCount val="60"/>
                <c:pt idx="0">
                  <c:v>5.293520922024211</c:v>
                </c:pt>
                <c:pt idx="1">
                  <c:v>5.293520922024211</c:v>
                </c:pt>
                <c:pt idx="2">
                  <c:v>5.293520922024211</c:v>
                </c:pt>
                <c:pt idx="3">
                  <c:v>5.293520922024211</c:v>
                </c:pt>
                <c:pt idx="4">
                  <c:v>5.293520922024211</c:v>
                </c:pt>
                <c:pt idx="5">
                  <c:v>5.293520922024211</c:v>
                </c:pt>
                <c:pt idx="6">
                  <c:v>5.293520922024211</c:v>
                </c:pt>
                <c:pt idx="7">
                  <c:v>5.293520922024211</c:v>
                </c:pt>
                <c:pt idx="8">
                  <c:v>5.293520922024211</c:v>
                </c:pt>
                <c:pt idx="9">
                  <c:v>5.293520922024211</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3"/>
          <c:order val="3"/>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noFill/>
              </a:ln>
            </c:spPr>
          </c:marker>
          <c:trendline>
            <c:spPr>
              <a:ln w="12700">
                <a:solidFill>
                  <a:srgbClr val="8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Mehrfachbest.'!$H$7:$H$66</c:f>
              <c:numCache>
                <c:ptCount val="60"/>
                <c:pt idx="0">
                  <c:v>-0.29352092202421076</c:v>
                </c:pt>
                <c:pt idx="1">
                  <c:v>-0.29352092202421076</c:v>
                </c:pt>
                <c:pt idx="2">
                  <c:v>-0.29352092202421076</c:v>
                </c:pt>
                <c:pt idx="3">
                  <c:v>-0.29352092202421076</c:v>
                </c:pt>
                <c:pt idx="4">
                  <c:v>-0.29352092202421076</c:v>
                </c:pt>
                <c:pt idx="5">
                  <c:v>-0.29352092202421076</c:v>
                </c:pt>
                <c:pt idx="6">
                  <c:v>-0.29352092202421076</c:v>
                </c:pt>
                <c:pt idx="7">
                  <c:v>-0.29352092202421076</c:v>
                </c:pt>
                <c:pt idx="8">
                  <c:v>-0.29352092202421076</c:v>
                </c:pt>
                <c:pt idx="9">
                  <c:v>-0.29352092202421076</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4"/>
          <c:order val="4"/>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Mehrfachbest.'!$I$7:$I$66</c:f>
              <c:numCache>
                <c:ptCount val="60"/>
                <c:pt idx="0">
                  <c:v>7.936502143433364</c:v>
                </c:pt>
                <c:pt idx="1">
                  <c:v>7.936502143433364</c:v>
                </c:pt>
                <c:pt idx="2">
                  <c:v>7.936502143433364</c:v>
                </c:pt>
                <c:pt idx="3">
                  <c:v>7.936502143433364</c:v>
                </c:pt>
                <c:pt idx="4">
                  <c:v>7.936502143433364</c:v>
                </c:pt>
                <c:pt idx="5">
                  <c:v>7.936502143433364</c:v>
                </c:pt>
                <c:pt idx="6">
                  <c:v>7.936502143433364</c:v>
                </c:pt>
                <c:pt idx="7">
                  <c:v>7.936502143433364</c:v>
                </c:pt>
                <c:pt idx="8">
                  <c:v>7.936502143433364</c:v>
                </c:pt>
                <c:pt idx="9">
                  <c:v>7.936502143433364</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5"/>
          <c:order val="5"/>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Mehrfachbest.'!$J$7:$J$66</c:f>
              <c:numCache>
                <c:ptCount val="60"/>
                <c:pt idx="0">
                  <c:v>-2.936502143433364</c:v>
                </c:pt>
                <c:pt idx="1">
                  <c:v>-2.936502143433364</c:v>
                </c:pt>
                <c:pt idx="2">
                  <c:v>-2.936502143433364</c:v>
                </c:pt>
                <c:pt idx="3">
                  <c:v>-2.936502143433364</c:v>
                </c:pt>
                <c:pt idx="4">
                  <c:v>-2.936502143433364</c:v>
                </c:pt>
                <c:pt idx="5">
                  <c:v>-2.936502143433364</c:v>
                </c:pt>
                <c:pt idx="6">
                  <c:v>-2.936502143433364</c:v>
                </c:pt>
                <c:pt idx="7">
                  <c:v>-2.936502143433364</c:v>
                </c:pt>
                <c:pt idx="8">
                  <c:v>-2.936502143433364</c:v>
                </c:pt>
                <c:pt idx="9">
                  <c:v>-2.936502143433364</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6"/>
          <c:order val="6"/>
          <c:tx>
            <c:v>Sollwert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pattFill prst="pct75">
                  <a:fgClr>
                    <a:srgbClr val="000000"/>
                  </a:fgClr>
                  <a:bgClr>
                    <a:srgbClr val="FFFFFF"/>
                  </a:bgClr>
                </a:patt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Mehrfachbest.'!$D$7:$D$66</c:f>
              <c:numCache>
                <c:ptCount val="6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numCache>
            </c:numRef>
          </c:yVal>
          <c:smooth val="0"/>
        </c:ser>
        <c:axId val="4434974"/>
        <c:axId val="39914767"/>
      </c:scatterChart>
      <c:valAx>
        <c:axId val="4434974"/>
        <c:scaling>
          <c:orientation val="minMax"/>
        </c:scaling>
        <c:axPos val="b"/>
        <c:delete val="0"/>
        <c:numFmt formatCode="General" sourceLinked="1"/>
        <c:majorTickMark val="out"/>
        <c:minorTickMark val="none"/>
        <c:tickLblPos val="nextTo"/>
        <c:txPr>
          <a:bodyPr/>
          <a:lstStyle/>
          <a:p>
            <a:pPr>
              <a:defRPr lang="en-US" cap="none" sz="700" b="0" i="0" u="none" baseline="0">
                <a:solidFill>
                  <a:srgbClr val="FFFFFF"/>
                </a:solidFill>
                <a:latin typeface="Arial"/>
                <a:ea typeface="Arial"/>
                <a:cs typeface="Arial"/>
              </a:defRPr>
            </a:pPr>
          </a:p>
        </c:txPr>
        <c:crossAx val="39914767"/>
        <c:crosses val="autoZero"/>
        <c:crossBetween val="midCat"/>
        <c:dispUnits/>
        <c:minorUnit val="0.21"/>
      </c:valAx>
      <c:valAx>
        <c:axId val="39914767"/>
        <c:scaling>
          <c:orientation val="minMax"/>
        </c:scaling>
        <c:axPos val="l"/>
        <c:majorGridlines>
          <c:spPr>
            <a:ln w="3175">
              <a:solidFill>
                <a:srgbClr val="DDDDDD"/>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434974"/>
        <c:crosses val="autoZero"/>
        <c:crossBetween val="midCat"/>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Vertrauensbereichsgrenze  VB(x)rel. in %    (relative analytische Unpräzision)</a:t>
            </a:r>
          </a:p>
        </c:rich>
      </c:tx>
      <c:layout/>
      <c:spPr>
        <a:noFill/>
        <a:ln>
          <a:noFill/>
        </a:ln>
      </c:spPr>
    </c:title>
    <c:plotArea>
      <c:layout/>
      <c:scatterChart>
        <c:scatterStyle val="smoothMarker"/>
        <c:varyColors val="0"/>
        <c:ser>
          <c:idx val="0"/>
          <c:order val="0"/>
          <c:tx>
            <c:v>rel. analytische Unpräzision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0"/>
              <c:pt idx="0">
                <c:v>0.1</c:v>
              </c:pt>
              <c:pt idx="1">
                <c:v>0.4</c:v>
              </c:pt>
              <c:pt idx="2">
                <c:v>0.7</c:v>
              </c:pt>
              <c:pt idx="3">
                <c:v>1</c:v>
              </c:pt>
              <c:pt idx="4">
                <c:v>1.3</c:v>
              </c:pt>
              <c:pt idx="5">
                <c:v>1.6</c:v>
              </c:pt>
              <c:pt idx="6">
                <c:v>1.9</c:v>
              </c:pt>
              <c:pt idx="7">
                <c:v>2.2</c:v>
              </c:pt>
              <c:pt idx="8">
                <c:v>2.5</c:v>
              </c:pt>
              <c:pt idx="9">
                <c:v>2.8</c:v>
              </c:pt>
              <c:pt idx="10">
                <c:v>3.1</c:v>
              </c:pt>
              <c:pt idx="11">
                <c:v>3.4</c:v>
              </c:pt>
              <c:pt idx="12">
                <c:v>3.7</c:v>
              </c:pt>
              <c:pt idx="13">
                <c:v>4</c:v>
              </c:pt>
              <c:pt idx="14">
                <c:v>4.3</c:v>
              </c:pt>
              <c:pt idx="15">
                <c:v>4.6</c:v>
              </c:pt>
              <c:pt idx="16">
                <c:v>4.9</c:v>
              </c:pt>
              <c:pt idx="17">
                <c:v>5.2</c:v>
              </c:pt>
              <c:pt idx="18">
                <c:v>5.5</c:v>
              </c:pt>
              <c:pt idx="19">
                <c:v>5.8</c:v>
              </c:pt>
              <c:pt idx="20">
                <c:v>6.1</c:v>
              </c:pt>
              <c:pt idx="21">
                <c:v>6.4</c:v>
              </c:pt>
              <c:pt idx="22">
                <c:v>6.7</c:v>
              </c:pt>
              <c:pt idx="23">
                <c:v>7</c:v>
              </c:pt>
              <c:pt idx="24">
                <c:v>7.3</c:v>
              </c:pt>
              <c:pt idx="25">
                <c:v>7.6</c:v>
              </c:pt>
              <c:pt idx="26">
                <c:v>7.9</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1071.085136221844</c:v>
              </c:pt>
              <c:pt idx="1">
                <c:v>262.5957854215738</c:v>
              </c:pt>
              <c:pt idx="2">
                <c:v>147.25282006627407</c:v>
              </c:pt>
              <c:pt idx="3">
                <c:v>101.23082087917759</c:v>
              </c:pt>
              <c:pt idx="4">
                <c:v>76.54328162372774</c:v>
              </c:pt>
              <c:pt idx="5">
                <c:v>61.19358459567974</c:v>
              </c:pt>
              <c:pt idx="6">
                <c:v>50.76188762875381</c:v>
              </c:pt>
              <c:pt idx="7">
                <c:v>43.239098340636204</c:v>
              </c:pt>
              <c:pt idx="8">
                <c:v>37.58038299860546</c:v>
              </c:pt>
              <c:pt idx="9">
                <c:v>33.18855997703084</c:v>
              </c:pt>
              <c:pt idx="10">
                <c:v>29.697457150064416</c:v>
              </c:pt>
              <c:pt idx="11">
                <c:v>26.8699626990145</c:v>
              </c:pt>
              <c:pt idx="12">
                <c:v>24.545674465846183</c:v>
              </c:pt>
              <c:pt idx="13">
                <c:v>22.612109983674422</c:v>
              </c:pt>
              <c:pt idx="14">
                <c:v>20.98797204728421</c:v>
              </c:pt>
              <c:pt idx="15">
                <c:v>19.61296722783023</c:v>
              </c:pt>
              <c:pt idx="16">
                <c:v>18.441369655392055</c:v>
              </c:pt>
              <c:pt idx="17">
                <c:v>17.43781795197565</c:v>
              </c:pt>
              <c:pt idx="18">
                <c:v>16.574492712228935</c:v>
              </c:pt>
              <c:pt idx="19">
                <c:v>15.829174422353981</c:v>
              </c:pt>
              <c:pt idx="20">
                <c:v>15.18387820731959</c:v>
              </c:pt>
              <c:pt idx="21">
                <c:v>14.623875451900274</c:v>
              </c:pt>
              <c:pt idx="22">
                <c:v>14.13698026404333</c:v>
              </c:pt>
              <c:pt idx="23">
                <c:v>13.713020545248805</c:v>
              </c:pt>
              <c:pt idx="24">
                <c:v>13.343439834961604</c:v>
              </c:pt>
              <c:pt idx="25">
                <c:v>13.02099316951066</c:v>
              </c:pt>
              <c:pt idx="26">
                <c:v>12.739511468222373</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1"/>
        </c:ser>
        <c:axId val="47116632"/>
        <c:axId val="21396505"/>
      </c:scatterChart>
      <c:valAx>
        <c:axId val="47116632"/>
        <c:scaling>
          <c:orientation val="minMax"/>
        </c:scaling>
        <c:axPos val="b"/>
        <c:title>
          <c:tx>
            <c:rich>
              <a:bodyPr vert="horz" rot="0" anchor="ctr"/>
              <a:lstStyle/>
              <a:p>
                <a:pPr algn="ctr">
                  <a:defRPr/>
                </a:pPr>
                <a:r>
                  <a:rPr lang="en-US" cap="none" sz="150" b="1" i="0" u="none" baseline="0">
                    <a:latin typeface="Arial"/>
                    <a:ea typeface="Arial"/>
                    <a:cs typeface="Arial"/>
                  </a:rPr>
                  <a:t>Konz.</a:t>
                </a:r>
              </a:p>
            </c:rich>
          </c:tx>
          <c:layout/>
          <c:overlay val="0"/>
          <c:spPr>
            <a:noFill/>
            <a:ln>
              <a:noFill/>
            </a:ln>
          </c:spPr>
        </c:title>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21396505"/>
        <c:crosses val="autoZero"/>
        <c:crossBetween val="midCat"/>
        <c:dispUnits/>
      </c:valAx>
      <c:valAx>
        <c:axId val="21396505"/>
        <c:scaling>
          <c:orientation val="minMax"/>
          <c:max val="100"/>
        </c:scaling>
        <c:axPos val="l"/>
        <c:title>
          <c:tx>
            <c:rich>
              <a:bodyPr vert="horz" rot="-5400000" anchor="ctr"/>
              <a:lstStyle/>
              <a:p>
                <a:pPr algn="ctr">
                  <a:defRPr/>
                </a:pPr>
                <a:r>
                  <a:rPr lang="en-US" cap="none" sz="150" b="1" i="0" u="none" baseline="0">
                    <a:latin typeface="Arial"/>
                    <a:ea typeface="Arial"/>
                    <a:cs typeface="Arial"/>
                  </a:rPr>
                  <a:t>VB(x)rel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47116632"/>
        <c:crosses val="autoZero"/>
        <c:crossBetween val="midCat"/>
        <c:dispUnits/>
        <c:majorUnit val="20"/>
        <c:minorUnit val="20"/>
      </c:valAx>
      <c:spPr>
        <a:solidFill>
          <a:srgbClr val="DDDDDD"/>
        </a:solidFill>
        <a:ln w="12700">
          <a:solidFill>
            <a:srgbClr val="FFFFFF"/>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0" i="0" u="none" baseline="0">
                <a:latin typeface="Arial"/>
                <a:ea typeface="Arial"/>
                <a:cs typeface="Arial"/>
              </a:rPr>
              <a:t>xm (braun)   sowie 2 Sx (rot/gestrichelt)</a:t>
            </a:r>
            <a:r>
              <a:rPr lang="en-US" cap="none" sz="1025" b="1" i="0" u="none" baseline="0">
                <a:latin typeface="Arial"/>
                <a:ea typeface="Arial"/>
                <a:cs typeface="Arial"/>
              </a:rPr>
              <a:t>
</a:t>
            </a:r>
            <a:r>
              <a:rPr lang="en-US" cap="none" sz="725" b="0" i="0" u="none" baseline="0">
                <a:latin typeface="Arial"/>
                <a:ea typeface="Arial"/>
                <a:cs typeface="Arial"/>
              </a:rPr>
              <a:t>Sollwert (grün/durchstochen) wenn angegeben</a:t>
            </a:r>
          </a:p>
        </c:rich>
      </c:tx>
      <c:layout>
        <c:manualLayout>
          <c:xMode val="factor"/>
          <c:yMode val="factor"/>
          <c:x val="-0.0105"/>
          <c:y val="-0.019"/>
        </c:manualLayout>
      </c:layout>
      <c:spPr>
        <a:noFill/>
        <a:ln>
          <a:noFill/>
        </a:ln>
      </c:spPr>
    </c:title>
    <c:plotArea>
      <c:layout>
        <c:manualLayout>
          <c:xMode val="edge"/>
          <c:yMode val="edge"/>
          <c:x val="0.0315"/>
          <c:y val="0.10925"/>
          <c:w val="0.96725"/>
          <c:h val="0.82225"/>
        </c:manualLayout>
      </c:layout>
      <c:scatterChart>
        <c:scatterStyle val="lineMarker"/>
        <c:varyColors val="0"/>
        <c:ser>
          <c:idx val="0"/>
          <c:order val="0"/>
          <c:tx>
            <c:v>Mittelwert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8000"/>
                </a:solidFill>
              </a:ln>
            </c:spPr>
          </c:marker>
          <c:trendline>
            <c:spPr>
              <a:ln w="25400">
                <a:solidFill>
                  <a:srgbClr val="0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Mehrfachbest.'!$F$7:$F$66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1"/>
          <c:order val="1"/>
          <c:tx>
            <c:v>Einzelwerte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noFill/>
              </a:ln>
            </c:spPr>
          </c:marker>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Mehrfachbest.'!$E$7:$E$66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2"/>
          <c:order val="2"/>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8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Mehrfachbest.'!$G$7:$G$66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3"/>
          <c:order val="3"/>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noFill/>
              </a:ln>
            </c:spPr>
          </c:marker>
          <c:trendline>
            <c:spPr>
              <a:ln w="12700">
                <a:solidFill>
                  <a:srgbClr val="8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Mehrfachbest.'!$H$7:$H$66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4"/>
          <c:order val="4"/>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Mehrfachbest.'!$I$7:$I$66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5"/>
          <c:order val="5"/>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Mehrfachbest.'!$J$7:$J$66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6"/>
          <c:order val="6"/>
          <c:tx>
            <c:v>Sollwert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pattFill prst="pct75">
                  <a:fgClr>
                    <a:srgbClr val="000000"/>
                  </a:fgClr>
                  <a:bgClr>
                    <a:srgbClr val="FFFFFF"/>
                  </a:bgClr>
                </a:patt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Mehrfachbest.'!$D$7:$D$66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axId val="58350818"/>
        <c:axId val="55395315"/>
      </c:scatterChart>
      <c:valAx>
        <c:axId val="58350818"/>
        <c:scaling>
          <c:orientation val="minMax"/>
        </c:scaling>
        <c:axPos val="b"/>
        <c:title>
          <c:tx>
            <c:rich>
              <a:bodyPr vert="horz" rot="0" anchor="ctr"/>
              <a:lstStyle/>
              <a:p>
                <a:pPr algn="ctr">
                  <a:defRPr/>
                </a:pPr>
                <a:r>
                  <a:rPr lang="en-US" cap="none" sz="800" b="1" i="0" u="none" baseline="0">
                    <a:latin typeface="Arial"/>
                    <a:ea typeface="Arial"/>
                    <a:cs typeface="Arial"/>
                  </a:rPr>
                  <a:t>Messwert - Nr.</a:t>
                </a:r>
              </a:p>
            </c:rich>
          </c:tx>
          <c:layout>
            <c:manualLayout>
              <c:xMode val="factor"/>
              <c:yMode val="factor"/>
              <c:x val="-0.01575"/>
              <c:y val="0.001"/>
            </c:manualLayout>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55395315"/>
        <c:crosses val="autoZero"/>
        <c:crossBetween val="midCat"/>
        <c:dispUnits/>
        <c:minorUnit val="0.21"/>
      </c:valAx>
      <c:valAx>
        <c:axId val="55395315"/>
        <c:scaling>
          <c:orientation val="minMax"/>
        </c:scaling>
        <c:axPos val="l"/>
        <c:title>
          <c:tx>
            <c:rich>
              <a:bodyPr vert="horz" rot="-5400000" anchor="ctr"/>
              <a:lstStyle/>
              <a:p>
                <a:pPr algn="ctr">
                  <a:defRPr/>
                </a:pPr>
                <a:r>
                  <a:rPr lang="en-US" cap="none" sz="800" b="1" i="0" u="none" baseline="0">
                    <a:latin typeface="Arial"/>
                    <a:ea typeface="Arial"/>
                    <a:cs typeface="Arial"/>
                  </a:rPr>
                  <a:t>Konzentration</a:t>
                </a:r>
              </a:p>
            </c:rich>
          </c:tx>
          <c:layout>
            <c:manualLayout>
              <c:xMode val="factor"/>
              <c:yMode val="factor"/>
              <c:x val="-0.00775"/>
              <c:y val="-0.001"/>
            </c:manualLayout>
          </c:layout>
          <c:overlay val="0"/>
          <c:spPr>
            <a:noFill/>
            <a:ln>
              <a:noFill/>
            </a:ln>
          </c:spPr>
        </c:title>
        <c:majorGridlines>
          <c:spPr>
            <a:ln w="3175">
              <a:solidFill>
                <a:srgbClr val="DDDDDD"/>
              </a:solidFill>
            </a:ln>
          </c:spPr>
        </c:majorGridlines>
        <c:delete val="0"/>
        <c:numFmt formatCode="General" sourceLinked="1"/>
        <c:majorTickMark val="out"/>
        <c:minorTickMark val="none"/>
        <c:tickLblPos val="nextTo"/>
        <c:crossAx val="58350818"/>
        <c:crosses val="autoZero"/>
        <c:crossBetween val="midCat"/>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Davidtest_U-Grenze: N = 20 bis 100</a:t>
            </a:r>
          </a:p>
        </c:rich>
      </c:tx>
      <c:layout/>
      <c:spPr>
        <a:noFill/>
        <a:ln>
          <a:noFill/>
        </a:ln>
      </c:spPr>
    </c:title>
    <c:plotArea>
      <c:layout/>
      <c:scatterChart>
        <c:scatterStyle val="lineMarker"/>
        <c:varyColors val="0"/>
        <c:ser>
          <c:idx val="0"/>
          <c:order val="0"/>
          <c:tx>
            <c:v>Davidtest_U-Grenze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75" b="0" i="0" u="none" baseline="0">
                      <a:latin typeface="Arial"/>
                      <a:ea typeface="Arial"/>
                      <a:cs typeface="Arial"/>
                    </a:defRPr>
                  </a:pPr>
                </a:p>
              </c:txPr>
              <c:numFmt formatCode="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Vergleichstabellen'!$V$22:$V$38</c:f>
              <c:numCache>
                <c:ptCount val="17"/>
                <c:pt idx="0">
                  <c:v>2.99</c:v>
                </c:pt>
                <c:pt idx="1">
                  <c:v>3.15</c:v>
                </c:pt>
                <c:pt idx="2">
                  <c:v>3.27</c:v>
                </c:pt>
                <c:pt idx="3">
                  <c:v>3.38</c:v>
                </c:pt>
                <c:pt idx="4">
                  <c:v>3.47</c:v>
                </c:pt>
                <c:pt idx="5">
                  <c:v>3.55</c:v>
                </c:pt>
                <c:pt idx="6">
                  <c:v>3.62</c:v>
                </c:pt>
                <c:pt idx="7">
                  <c:v>3.69</c:v>
                </c:pt>
                <c:pt idx="8">
                  <c:v>3.75</c:v>
                </c:pt>
                <c:pt idx="9">
                  <c:v>3.8</c:v>
                </c:pt>
                <c:pt idx="10">
                  <c:v>3.85</c:v>
                </c:pt>
                <c:pt idx="11">
                  <c:v>3.9</c:v>
                </c:pt>
                <c:pt idx="12">
                  <c:v>3.94</c:v>
                </c:pt>
                <c:pt idx="13">
                  <c:v>3.99</c:v>
                </c:pt>
                <c:pt idx="14">
                  <c:v>4.02</c:v>
                </c:pt>
                <c:pt idx="15">
                  <c:v>4.06</c:v>
                </c:pt>
                <c:pt idx="16">
                  <c:v>4.1</c:v>
                </c:pt>
              </c:numCache>
            </c:numRef>
          </c:yVal>
          <c:smooth val="0"/>
        </c:ser>
        <c:axId val="23688584"/>
        <c:axId val="11870665"/>
      </c:scatterChart>
      <c:valAx>
        <c:axId val="23688584"/>
        <c:scaling>
          <c:orientation val="minMax"/>
          <c:max val="100"/>
          <c:min val="25"/>
        </c:scaling>
        <c:axPos val="b"/>
        <c:majorGridlines/>
        <c:delete val="0"/>
        <c:numFmt formatCode="General" sourceLinked="1"/>
        <c:majorTickMark val="out"/>
        <c:minorTickMark val="none"/>
        <c:tickLblPos val="nextTo"/>
        <c:crossAx val="11870665"/>
        <c:crosses val="autoZero"/>
        <c:crossBetween val="midCat"/>
        <c:dispUnits/>
      </c:valAx>
      <c:valAx>
        <c:axId val="11870665"/>
        <c:scaling>
          <c:orientation val="minMax"/>
          <c:max val="4.5"/>
          <c:min val="3.2"/>
        </c:scaling>
        <c:axPos val="l"/>
        <c:majorGridlines/>
        <c:delete val="0"/>
        <c:numFmt formatCode="General" sourceLinked="1"/>
        <c:majorTickMark val="out"/>
        <c:minorTickMark val="none"/>
        <c:tickLblPos val="nextTo"/>
        <c:crossAx val="23688584"/>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Davidtest_O-Grenze: N = 20 bis 100</a:t>
            </a:r>
          </a:p>
        </c:rich>
      </c:tx>
      <c:layout/>
      <c:spPr>
        <a:noFill/>
        <a:ln>
          <a:noFill/>
        </a:ln>
      </c:spPr>
    </c:title>
    <c:plotArea>
      <c:layout/>
      <c:scatterChart>
        <c:scatterStyle val="lineMarker"/>
        <c:varyColors val="0"/>
        <c:ser>
          <c:idx val="0"/>
          <c:order val="0"/>
          <c:tx>
            <c:v>Davidtest_O-Grenze: N = 20 bis 100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poly"/>
            <c:order val="3"/>
            <c:dispEq val="1"/>
            <c:dispRSqr val="1"/>
            <c:trendlineLbl>
              <c:layout>
                <c:manualLayout>
                  <c:x val="0"/>
                  <c:y val="0"/>
                </c:manualLayout>
              </c:layout>
              <c:txPr>
                <a:bodyPr vert="horz" rot="0" anchor="ctr"/>
                <a:lstStyle/>
                <a:p>
                  <a:pPr algn="ctr">
                    <a:defRPr lang="en-US" cap="none" sz="175" b="0" i="0" u="none" baseline="0">
                      <a:latin typeface="Arial"/>
                      <a:ea typeface="Arial"/>
                      <a:cs typeface="Arial"/>
                    </a:defRPr>
                  </a:pPr>
                </a:p>
              </c:txPr>
              <c:numFmt formatCode="0.0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Vergleichstabellen'!$W$22:$W$38</c:f>
              <c:numCache>
                <c:ptCount val="17"/>
                <c:pt idx="0">
                  <c:v>4.8</c:v>
                </c:pt>
                <c:pt idx="1">
                  <c:v>5.06</c:v>
                </c:pt>
                <c:pt idx="2">
                  <c:v>5.26</c:v>
                </c:pt>
                <c:pt idx="3">
                  <c:v>5.42</c:v>
                </c:pt>
                <c:pt idx="4">
                  <c:v>5.56</c:v>
                </c:pt>
                <c:pt idx="5">
                  <c:v>5.67</c:v>
                </c:pt>
                <c:pt idx="6">
                  <c:v>5.77</c:v>
                </c:pt>
                <c:pt idx="7">
                  <c:v>5.86</c:v>
                </c:pt>
                <c:pt idx="8">
                  <c:v>5.94</c:v>
                </c:pt>
                <c:pt idx="9">
                  <c:v>6.01</c:v>
                </c:pt>
                <c:pt idx="10">
                  <c:v>6.07</c:v>
                </c:pt>
                <c:pt idx="11">
                  <c:v>6.13</c:v>
                </c:pt>
                <c:pt idx="12">
                  <c:v>6.18</c:v>
                </c:pt>
                <c:pt idx="13">
                  <c:v>6.23</c:v>
                </c:pt>
                <c:pt idx="14">
                  <c:v>6.27</c:v>
                </c:pt>
                <c:pt idx="15">
                  <c:v>6.32</c:v>
                </c:pt>
                <c:pt idx="16">
                  <c:v>6.36</c:v>
                </c:pt>
              </c:numCache>
            </c:numRef>
          </c:yVal>
          <c:smooth val="0"/>
        </c:ser>
        <c:axId val="39727122"/>
        <c:axId val="21999779"/>
      </c:scatterChart>
      <c:valAx>
        <c:axId val="39727122"/>
        <c:scaling>
          <c:orientation val="minMax"/>
          <c:max val="100"/>
          <c:min val="20"/>
        </c:scaling>
        <c:axPos val="b"/>
        <c:majorGridlines/>
        <c:delete val="0"/>
        <c:numFmt formatCode="General" sourceLinked="1"/>
        <c:majorTickMark val="out"/>
        <c:minorTickMark val="none"/>
        <c:tickLblPos val="nextTo"/>
        <c:crossAx val="21999779"/>
        <c:crosses val="autoZero"/>
        <c:crossBetween val="midCat"/>
        <c:dispUnits/>
      </c:valAx>
      <c:valAx>
        <c:axId val="21999779"/>
        <c:scaling>
          <c:orientation val="minMax"/>
          <c:max val="15"/>
          <c:min val="6"/>
        </c:scaling>
        <c:axPos val="l"/>
        <c:majorGridlines/>
        <c:delete val="0"/>
        <c:numFmt formatCode="General" sourceLinked="1"/>
        <c:majorTickMark val="out"/>
        <c:minorTickMark val="none"/>
        <c:tickLblPos val="nextTo"/>
        <c:crossAx val="39727122"/>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Davidtest_U-Grenze: N = 20 bis 100</a:t>
            </a:r>
          </a:p>
        </c:rich>
      </c:tx>
      <c:layout/>
      <c:spPr>
        <a:noFill/>
        <a:ln>
          <a:noFill/>
        </a:ln>
      </c:spPr>
    </c:title>
    <c:plotArea>
      <c:layout/>
      <c:scatterChart>
        <c:scatterStyle val="lineMarker"/>
        <c:varyColors val="0"/>
        <c:ser>
          <c:idx val="0"/>
          <c:order val="0"/>
          <c:tx>
            <c:v>Davidtest_U-Grenze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Vergleichstabellen'!$V$22:$V$38</c:f>
              <c:numCache>
                <c:ptCount val="17"/>
                <c:pt idx="0">
                  <c:v>2.99</c:v>
                </c:pt>
                <c:pt idx="1">
                  <c:v>3.15</c:v>
                </c:pt>
                <c:pt idx="2">
                  <c:v>3.27</c:v>
                </c:pt>
                <c:pt idx="3">
                  <c:v>3.38</c:v>
                </c:pt>
                <c:pt idx="4">
                  <c:v>3.47</c:v>
                </c:pt>
                <c:pt idx="5">
                  <c:v>3.55</c:v>
                </c:pt>
                <c:pt idx="6">
                  <c:v>3.62</c:v>
                </c:pt>
                <c:pt idx="7">
                  <c:v>3.69</c:v>
                </c:pt>
                <c:pt idx="8">
                  <c:v>3.75</c:v>
                </c:pt>
                <c:pt idx="9">
                  <c:v>3.8</c:v>
                </c:pt>
                <c:pt idx="10">
                  <c:v>3.85</c:v>
                </c:pt>
                <c:pt idx="11">
                  <c:v>3.9</c:v>
                </c:pt>
                <c:pt idx="12">
                  <c:v>3.94</c:v>
                </c:pt>
                <c:pt idx="13">
                  <c:v>3.99</c:v>
                </c:pt>
                <c:pt idx="14">
                  <c:v>4.02</c:v>
                </c:pt>
                <c:pt idx="15">
                  <c:v>4.06</c:v>
                </c:pt>
                <c:pt idx="16">
                  <c:v>4.1</c:v>
                </c:pt>
              </c:numCache>
            </c:numRef>
          </c:yVal>
          <c:smooth val="0"/>
        </c:ser>
        <c:axId val="63780284"/>
        <c:axId val="37151645"/>
      </c:scatterChart>
      <c:valAx>
        <c:axId val="63780284"/>
        <c:scaling>
          <c:orientation val="minMax"/>
          <c:max val="100"/>
          <c:min val="25"/>
        </c:scaling>
        <c:axPos val="b"/>
        <c:majorGridlines/>
        <c:delete val="0"/>
        <c:numFmt formatCode="General" sourceLinked="1"/>
        <c:majorTickMark val="out"/>
        <c:minorTickMark val="none"/>
        <c:tickLblPos val="nextTo"/>
        <c:crossAx val="37151645"/>
        <c:crosses val="autoZero"/>
        <c:crossBetween val="midCat"/>
        <c:dispUnits/>
      </c:valAx>
      <c:valAx>
        <c:axId val="37151645"/>
        <c:scaling>
          <c:orientation val="minMax"/>
          <c:max val="4.5"/>
          <c:min val="3.2"/>
        </c:scaling>
        <c:axPos val="l"/>
        <c:majorGridlines/>
        <c:delete val="0"/>
        <c:numFmt formatCode="General" sourceLinked="1"/>
        <c:majorTickMark val="out"/>
        <c:minorTickMark val="none"/>
        <c:tickLblPos val="nextTo"/>
        <c:crossAx val="63780284"/>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Davidtest_O-Grenze: N = 20 bis 100</a:t>
            </a:r>
          </a:p>
        </c:rich>
      </c:tx>
      <c:layout>
        <c:manualLayout>
          <c:xMode val="factor"/>
          <c:yMode val="factor"/>
          <c:x val="0.0065"/>
          <c:y val="0.0025"/>
        </c:manualLayout>
      </c:layout>
      <c:spPr>
        <a:noFill/>
        <a:ln>
          <a:noFill/>
        </a:ln>
      </c:spPr>
    </c:title>
    <c:plotArea>
      <c:layout>
        <c:manualLayout>
          <c:xMode val="edge"/>
          <c:yMode val="edge"/>
          <c:x val="0.036"/>
          <c:y val="0.1935"/>
          <c:w val="0.928"/>
          <c:h val="0.75625"/>
        </c:manualLayout>
      </c:layout>
      <c:scatterChart>
        <c:scatterStyle val="lineMarker"/>
        <c:varyColors val="0"/>
        <c:ser>
          <c:idx val="0"/>
          <c:order val="0"/>
          <c:tx>
            <c:v>Davidtest_O-Grenze: N = 20 bis 100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poly"/>
            <c:order val="4"/>
            <c:dispEq val="1"/>
            <c:dispRSqr val="1"/>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0.000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Vergleichstabellen'!$W$22:$W$38</c:f>
              <c:numCache>
                <c:ptCount val="17"/>
                <c:pt idx="0">
                  <c:v>4.8</c:v>
                </c:pt>
                <c:pt idx="1">
                  <c:v>5.06</c:v>
                </c:pt>
                <c:pt idx="2">
                  <c:v>5.26</c:v>
                </c:pt>
                <c:pt idx="3">
                  <c:v>5.42</c:v>
                </c:pt>
                <c:pt idx="4">
                  <c:v>5.56</c:v>
                </c:pt>
                <c:pt idx="5">
                  <c:v>5.67</c:v>
                </c:pt>
                <c:pt idx="6">
                  <c:v>5.77</c:v>
                </c:pt>
                <c:pt idx="7">
                  <c:v>5.86</c:v>
                </c:pt>
                <c:pt idx="8">
                  <c:v>5.94</c:v>
                </c:pt>
                <c:pt idx="9">
                  <c:v>6.01</c:v>
                </c:pt>
                <c:pt idx="10">
                  <c:v>6.07</c:v>
                </c:pt>
                <c:pt idx="11">
                  <c:v>6.13</c:v>
                </c:pt>
                <c:pt idx="12">
                  <c:v>6.18</c:v>
                </c:pt>
                <c:pt idx="13">
                  <c:v>6.23</c:v>
                </c:pt>
                <c:pt idx="14">
                  <c:v>6.27</c:v>
                </c:pt>
                <c:pt idx="15">
                  <c:v>6.32</c:v>
                </c:pt>
                <c:pt idx="16">
                  <c:v>6.36</c:v>
                </c:pt>
              </c:numCache>
            </c:numRef>
          </c:yVal>
          <c:smooth val="0"/>
        </c:ser>
        <c:axId val="65929350"/>
        <c:axId val="56493239"/>
      </c:scatterChart>
      <c:valAx>
        <c:axId val="65929350"/>
        <c:scaling>
          <c:orientation val="minMax"/>
          <c:max val="100"/>
          <c:min val="20"/>
        </c:scaling>
        <c:axPos val="b"/>
        <c:majorGridlines/>
        <c:delete val="0"/>
        <c:numFmt formatCode="General" sourceLinked="1"/>
        <c:majorTickMark val="out"/>
        <c:minorTickMark val="none"/>
        <c:tickLblPos val="nextTo"/>
        <c:crossAx val="56493239"/>
        <c:crosses val="autoZero"/>
        <c:crossBetween val="midCat"/>
        <c:dispUnits/>
      </c:valAx>
      <c:valAx>
        <c:axId val="56493239"/>
        <c:scaling>
          <c:orientation val="minMax"/>
          <c:min val="4"/>
        </c:scaling>
        <c:axPos val="l"/>
        <c:majorGridlines/>
        <c:delete val="0"/>
        <c:numFmt formatCode="General" sourceLinked="1"/>
        <c:majorTickMark val="out"/>
        <c:minorTickMark val="none"/>
        <c:tickLblPos val="nextTo"/>
        <c:crossAx val="65929350"/>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sng" baseline="0">
                <a:latin typeface="Arial"/>
                <a:ea typeface="Arial"/>
                <a:cs typeface="Arial"/>
              </a:rPr>
              <a:t>Kalibriergerade nach DIN</a:t>
            </a:r>
          </a:p>
        </c:rich>
      </c:tx>
      <c:layout/>
      <c:spPr>
        <a:noFill/>
        <a:ln>
          <a:noFill/>
        </a:ln>
      </c:spPr>
    </c:title>
    <c:plotArea>
      <c:layout/>
      <c:scatterChart>
        <c:scatterStyle val="lineMarker"/>
        <c:varyColors val="0"/>
        <c:ser>
          <c:idx val="0"/>
          <c:order val="0"/>
          <c:tx>
            <c:v>Kalibriergerade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c:trendlineLbl>
          </c:trendline>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38677104"/>
        <c:axId val="12549617"/>
      </c:scatterChart>
      <c:valAx>
        <c:axId val="38677104"/>
        <c:scaling>
          <c:orientation val="minMax"/>
        </c:scaling>
        <c:axPos val="b"/>
        <c:title>
          <c:tx>
            <c:rich>
              <a:bodyPr vert="horz" rot="0" anchor="ctr"/>
              <a:lstStyle/>
              <a:p>
                <a:pPr algn="ctr">
                  <a:defRPr/>
                </a:pPr>
                <a:r>
                  <a:rPr lang="en-US" cap="none" sz="100" b="0" i="0" u="none" baseline="0">
                    <a:latin typeface="Arial"/>
                    <a:ea typeface="Arial"/>
                    <a:cs typeface="Arial"/>
                  </a:rPr>
                  <a:t>Konzentrationswerte</a:t>
                </a:r>
              </a:p>
            </c:rich>
          </c:tx>
          <c:layout/>
          <c:overlay val="0"/>
          <c:spPr>
            <a:noFill/>
            <a:ln>
              <a:noFill/>
            </a:ln>
          </c:spPr>
        </c:title>
        <c:delete val="0"/>
        <c:numFmt formatCode="General" sourceLinked="1"/>
        <c:majorTickMark val="out"/>
        <c:minorTickMark val="none"/>
        <c:tickLblPos val="nextTo"/>
        <c:crossAx val="12549617"/>
        <c:crosses val="autoZero"/>
        <c:crossBetween val="midCat"/>
        <c:dispUnits/>
      </c:valAx>
      <c:valAx>
        <c:axId val="12549617"/>
        <c:scaling>
          <c:orientation val="minMax"/>
        </c:scaling>
        <c:axPos val="l"/>
        <c:title>
          <c:tx>
            <c:rich>
              <a:bodyPr vert="horz" rot="-5400000" anchor="ctr"/>
              <a:lstStyle/>
              <a:p>
                <a:pPr algn="ctr">
                  <a:defRPr/>
                </a:pPr>
                <a:r>
                  <a:rPr lang="en-US" cap="none" sz="100" b="0" i="0" u="none" baseline="0">
                    <a:latin typeface="Arial"/>
                    <a:ea typeface="Arial"/>
                    <a:cs typeface="Arial"/>
                  </a:rPr>
                  <a:t>Inf.werte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38677104"/>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quadratische Regression!   (visuelle Linearitätsprüfung!)</a:t>
            </a:r>
          </a:p>
        </c:rich>
      </c:tx>
      <c:layout/>
      <c:spPr>
        <a:noFill/>
        <a:ln>
          <a:noFill/>
        </a:ln>
      </c:spPr>
    </c:title>
    <c:plotArea>
      <c:layout/>
      <c:scatterChart>
        <c:scatterStyle val="lineMarker"/>
        <c:varyColors val="0"/>
        <c:ser>
          <c:idx val="0"/>
          <c:order val="0"/>
          <c:tx>
            <c:v>Kalibriergerade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spPr>
              <a:ln w="3175">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125" b="0" i="0" u="none" baseline="0">
                      <a:latin typeface="Arial"/>
                      <a:ea typeface="Arial"/>
                      <a:cs typeface="Arial"/>
                    </a:defRPr>
                  </a:pPr>
                </a:p>
              </c:txPr>
              <c:numFmt formatCode="General"/>
              <c:spPr>
                <a:solidFill>
                  <a:srgbClr val="FFFFFF"/>
                </a:solidFill>
                <a:ln w="3175">
                  <a:solidFill/>
                </a:ln>
              </c:spPr>
            </c:trendlineLbl>
          </c:trendline>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45837690"/>
        <c:axId val="9886027"/>
      </c:scatterChart>
      <c:valAx>
        <c:axId val="45837690"/>
        <c:scaling>
          <c:orientation val="minMax"/>
        </c:scaling>
        <c:axPos val="b"/>
        <c:title>
          <c:tx>
            <c:rich>
              <a:bodyPr vert="horz" rot="0" anchor="ctr"/>
              <a:lstStyle/>
              <a:p>
                <a:pPr algn="ctr">
                  <a:defRPr/>
                </a:pPr>
                <a:r>
                  <a:rPr lang="en-US" cap="none" sz="100" b="0" i="0" u="none" baseline="0">
                    <a:latin typeface="Arial"/>
                    <a:ea typeface="Arial"/>
                    <a:cs typeface="Arial"/>
                  </a:rPr>
                  <a:t>Konzentrationswerte</a:t>
                </a:r>
              </a:p>
            </c:rich>
          </c:tx>
          <c:layout/>
          <c:overlay val="0"/>
          <c:spPr>
            <a:noFill/>
            <a:ln>
              <a:noFill/>
            </a:ln>
          </c:spPr>
        </c:title>
        <c:delete val="0"/>
        <c:numFmt formatCode="General" sourceLinked="1"/>
        <c:majorTickMark val="out"/>
        <c:minorTickMark val="none"/>
        <c:tickLblPos val="nextTo"/>
        <c:crossAx val="9886027"/>
        <c:crosses val="autoZero"/>
        <c:crossBetween val="midCat"/>
        <c:dispUnits/>
      </c:valAx>
      <c:valAx>
        <c:axId val="9886027"/>
        <c:scaling>
          <c:orientation val="minMax"/>
        </c:scaling>
        <c:axPos val="l"/>
        <c:title>
          <c:tx>
            <c:rich>
              <a:bodyPr vert="horz" rot="-5400000" anchor="ctr"/>
              <a:lstStyle/>
              <a:p>
                <a:pPr algn="ctr">
                  <a:defRPr/>
                </a:pPr>
                <a:r>
                  <a:rPr lang="en-US" cap="none" sz="100" b="0" i="0" u="none" baseline="0">
                    <a:latin typeface="Arial"/>
                    <a:ea typeface="Arial"/>
                    <a:cs typeface="Arial"/>
                  </a:rPr>
                  <a:t>Inf.werte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45837690"/>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Residuen </a:t>
            </a:r>
            <a:r>
              <a:rPr lang="en-US" cap="none" sz="100" b="0" i="0" u="sng" baseline="0">
                <a:latin typeface="Arial"/>
                <a:ea typeface="Arial"/>
                <a:cs typeface="Arial"/>
              </a:rPr>
              <a:t>(Differenzen der Messwerte von der Funktionsgeraden)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-0.27499999999999925</c:v>
              </c:pt>
              <c:pt idx="1">
                <c:v>-0.1374999999999995</c:v>
              </c:pt>
              <c:pt idx="2">
                <c:v>-0.09999999999999964</c:v>
              </c:pt>
              <c:pt idx="3">
                <c:v>0.6875</c:v>
              </c:pt>
              <c:pt idx="4">
                <c:v>0.07500000000000018</c:v>
              </c:pt>
              <c:pt idx="5">
                <c:v>0.16249999999999964</c:v>
              </c:pt>
              <c:pt idx="6">
                <c:v>-0.05000000000000071</c:v>
              </c:pt>
              <c:pt idx="7">
                <c:v>-0.3625000000000016</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21865380"/>
        <c:axId val="62570693"/>
      </c:scatterChart>
      <c:valAx>
        <c:axId val="21865380"/>
        <c:scaling>
          <c:orientation val="minMax"/>
        </c:scaling>
        <c:axPos val="b"/>
        <c:title>
          <c:tx>
            <c:rich>
              <a:bodyPr vert="horz" rot="0" anchor="ctr"/>
              <a:lstStyle/>
              <a:p>
                <a:pPr algn="ctr">
                  <a:defRPr/>
                </a:pPr>
                <a:r>
                  <a:rPr lang="en-US" cap="none" sz="100" b="1" i="0" u="none" baseline="0">
                    <a:latin typeface="Arial"/>
                    <a:ea typeface="Arial"/>
                    <a:cs typeface="Arial"/>
                  </a:rPr>
                  <a:t>Konz.</a:t>
                </a:r>
              </a:p>
            </c:rich>
          </c:tx>
          <c:layout/>
          <c:overlay val="0"/>
          <c:spPr>
            <a:noFill/>
            <a:ln>
              <a:noFill/>
            </a:ln>
          </c:spPr>
        </c:title>
        <c:delete val="0"/>
        <c:numFmt formatCode="General" sourceLinked="1"/>
        <c:majorTickMark val="out"/>
        <c:minorTickMark val="none"/>
        <c:tickLblPos val="nextTo"/>
        <c:crossAx val="62570693"/>
        <c:crosses val="autoZero"/>
        <c:crossBetween val="midCat"/>
        <c:dispUnits/>
      </c:valAx>
      <c:valAx>
        <c:axId val="62570693"/>
        <c:scaling>
          <c:orientation val="minMax"/>
        </c:scaling>
        <c:axPos val="l"/>
        <c:title>
          <c:tx>
            <c:rich>
              <a:bodyPr vert="horz" rot="-5400000" anchor="ctr"/>
              <a:lstStyle/>
              <a:p>
                <a:pPr algn="ctr">
                  <a:defRPr/>
                </a:pPr>
                <a:r>
                  <a:rPr lang="en-US" cap="none" sz="100" b="1" i="0" u="none" baseline="0">
                    <a:latin typeface="Arial"/>
                    <a:ea typeface="Arial"/>
                    <a:cs typeface="Arial"/>
                  </a:rPr>
                  <a:t>Diff. zum Inf. wert</a:t>
                </a:r>
              </a:p>
            </c:rich>
          </c:tx>
          <c:layout/>
          <c:overlay val="0"/>
          <c:spPr>
            <a:noFill/>
            <a:ln>
              <a:noFill/>
            </a:ln>
          </c:spPr>
        </c:title>
        <c:delete val="0"/>
        <c:numFmt formatCode="General" sourceLinked="1"/>
        <c:majorTickMark val="out"/>
        <c:minorTickMark val="none"/>
        <c:tickLblPos val="nextTo"/>
        <c:crossAx val="21865380"/>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IST-Konzentrationen mit Vertrauensbereichsgrenzen
</a:t>
            </a:r>
          </a:p>
        </c:rich>
      </c:tx>
      <c:layout/>
      <c:spPr>
        <a:noFill/>
        <a:ln>
          <a:noFill/>
        </a:ln>
      </c:spPr>
    </c:title>
    <c:plotArea>
      <c:layout/>
      <c:scatterChart>
        <c:scatterStyle val="lineMarker"/>
        <c:varyColors val="0"/>
        <c:ser>
          <c:idx val="0"/>
          <c:order val="0"/>
          <c:tx>
            <c:v>Inf. gegen SOLL (= inv.Kal.)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3175">
                <a:solidFill>
                  <a:srgbClr val="800000"/>
                </a:solidFill>
                <a:prstDash val="lgDashDotDot"/>
              </a:ln>
            </c:spPr>
            <c:trendlineType val="linear"/>
            <c:dispEq val="1"/>
            <c:dispRSqr val="0"/>
            <c:trendlineLbl>
              <c:numFmt formatCode="General" sourceLinked="1"/>
            </c:trendlineLbl>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1"/>
          <c:order val="1"/>
          <c:tx>
            <c:v>IST_Konz. + VB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4"/>
            <c:spPr>
              <a:noFill/>
              <a:ln>
                <a:solidFill>
                  <a:srgbClr val="FF0000"/>
                </a:solidFill>
              </a:ln>
            </c:spPr>
          </c:marker>
          <c:trendline>
            <c:spPr>
              <a:ln w="12700">
                <a:solidFill>
                  <a:srgbClr val="FF0000"/>
                </a:solidFill>
              </a:ln>
            </c:spPr>
            <c:trendlineType val="poly"/>
            <c:order val="2"/>
            <c:dispEq val="0"/>
            <c:dispRSqr val="0"/>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1.757367063590385</c:v>
              </c:pt>
              <c:pt idx="1">
                <c:v>2.8303456684442265</c:v>
              </c:pt>
              <c:pt idx="2">
                <c:v>3.827414421141646</c:v>
              </c:pt>
              <c:pt idx="3">
                <c:v>5.581419237879994</c:v>
              </c:pt>
              <c:pt idx="4">
                <c:v>5.979315648300521</c:v>
              </c:pt>
              <c:pt idx="5">
                <c:v>7.088542421792191</c:v>
              </c:pt>
              <c:pt idx="6">
                <c:v>7.9083329932675515</c:v>
              </c:pt>
              <c:pt idx="7">
                <c:v>8.633848179244406</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2"/>
          <c:order val="2"/>
          <c:tx>
            <c:v>IST_Konz. - VB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noFill/>
              <a:ln>
                <a:solidFill>
                  <a:srgbClr val="FF0000"/>
                </a:solidFill>
              </a:ln>
            </c:spPr>
          </c:marker>
          <c:trendline>
            <c:spPr>
              <a:ln w="12700">
                <a:solidFill>
                  <a:srgbClr val="FF0000"/>
                </a:solidFill>
              </a:ln>
            </c:spPr>
            <c:trendlineType val="poly"/>
            <c:order val="2"/>
            <c:dispEq val="0"/>
            <c:dispRSqr val="0"/>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20"/>
              <c:pt idx="0">
                <c:v>-0.3005769401335934</c:v>
              </c:pt>
              <c:pt idx="1">
                <c:v>0.8980493932841694</c:v>
              </c:pt>
              <c:pt idx="2">
                <c:v>1.975054714660824</c:v>
              </c:pt>
              <c:pt idx="3">
                <c:v>3.776605453478029</c:v>
              </c:pt>
              <c:pt idx="4">
                <c:v>4.168832499847627</c:v>
              </c:pt>
              <c:pt idx="5">
                <c:v>5.2324452325287965</c:v>
              </c:pt>
              <c:pt idx="6">
                <c:v>5.992901574633681</c:v>
              </c:pt>
              <c:pt idx="7">
                <c:v>6.650102438039544</c:v>
              </c:pt>
              <c:pt idx="8">
                <c:v>#N/A</c:v>
              </c:pt>
              <c:pt idx="9">
                <c:v>#N/A</c:v>
              </c:pt>
              <c:pt idx="10">
                <c:v>#N/A</c:v>
              </c:pt>
              <c:pt idx="11">
                <c:v>#N/A</c:v>
              </c:pt>
              <c:pt idx="12">
                <c:v>#N/A</c:v>
              </c:pt>
              <c:pt idx="13">
                <c:v>#N/A</c:v>
              </c:pt>
              <c:pt idx="14">
                <c:v>#N/A</c:v>
              </c:pt>
              <c:pt idx="15">
                <c:v>#N/A</c:v>
              </c:pt>
              <c:pt idx="16">
                <c:v>#N/A</c:v>
              </c:pt>
              <c:pt idx="17">
                <c:v>#N/A</c:v>
              </c:pt>
              <c:pt idx="18">
                <c:v>#N/A</c:v>
              </c:pt>
              <c:pt idx="19">
                <c:v>#N/A</c:v>
              </c:pt>
            </c:numLit>
          </c:yVal>
          <c:smooth val="0"/>
        </c:ser>
        <c:ser>
          <c:idx val="3"/>
          <c:order val="3"/>
          <c:tx>
            <c:v>Inf.Werte gegen IST_Konz.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trendline>
            <c:spPr>
              <a:ln w="25400">
                <a:solidFill>
                  <a:srgbClr val="0000FF"/>
                </a:solidFill>
              </a:ln>
            </c:spPr>
            <c:trendlineType val="linear"/>
            <c:dispEq val="1"/>
            <c:dispRSqr val="0"/>
            <c:trendlineLbl>
              <c:layout>
                <c:manualLayout>
                  <c:x val="0"/>
                  <c:y val="0"/>
                </c:manualLayout>
              </c:layout>
              <c:txPr>
                <a:bodyPr vert="horz" rot="0" anchor="ctr"/>
                <a:lstStyle/>
                <a:p>
                  <a:pPr algn="ctr">
                    <a:defRPr lang="en-US" cap="none" sz="100" b="0" i="0" u="none" baseline="0">
                      <a:solidFill>
                        <a:srgbClr val="0000FF"/>
                      </a:solidFill>
                      <a:latin typeface="Arial"/>
                      <a:ea typeface="Arial"/>
                      <a:cs typeface="Arial"/>
                    </a:defRPr>
                  </a:pPr>
                </a:p>
              </c:txPr>
              <c:numFmt formatCode="0.0000E+00"/>
            </c:trendlineLbl>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0.7283950617283959</c:v>
              </c:pt>
              <c:pt idx="1">
                <c:v>1.864197530864198</c:v>
              </c:pt>
              <c:pt idx="2">
                <c:v>2.901234567901235</c:v>
              </c:pt>
              <c:pt idx="3">
                <c:v>4.679012345679012</c:v>
              </c:pt>
              <c:pt idx="4">
                <c:v>5.074074074074074</c:v>
              </c:pt>
              <c:pt idx="5">
                <c:v>6.160493827160494</c:v>
              </c:pt>
              <c:pt idx="6">
                <c:v>6.950617283950616</c:v>
              </c:pt>
              <c:pt idx="7">
                <c:v>7.641975308641975</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4"/>
          <c:order val="4"/>
          <c:tx>
            <c:v>Testwert</c:v>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errBars>
            <c:errDir val="y"/>
            <c:errBarType val="both"/>
            <c:errValType val="cust"/>
            <c:plus>
              <c:numLit>
                <c:ptCount val="1"/>
                <c:pt idx="0">
                  <c:v>4.448662994059221</c:v>
                </c:pt>
              </c:numLit>
            </c:plus>
            <c:minus>
              <c:numLit>
                <c:ptCount val="1"/>
                <c:pt idx="0">
                  <c:v>4.185185185185185</c:v>
                </c:pt>
              </c:numLit>
            </c:minus>
            <c:noEndCap val="1"/>
            <c:spPr>
              <a:ln w="12700">
                <a:solidFill>
                  <a:srgbClr val="008000"/>
                </a:solidFill>
              </a:ln>
            </c:spPr>
          </c:errBars>
          <c:xVal>
            <c:numLit>
              <c:ptCount val="1"/>
              <c:pt idx="0">
                <c:v>4.3</c:v>
              </c:pt>
            </c:numLit>
          </c:xVal>
          <c:yVal>
            <c:numLit>
              <c:ptCount val="1"/>
              <c:pt idx="0">
                <c:v>4.185185185185185</c:v>
              </c:pt>
            </c:numLit>
          </c:yVal>
          <c:smooth val="1"/>
        </c:ser>
        <c:ser>
          <c:idx val="5"/>
          <c:order val="5"/>
          <c:tx>
            <c:v>NWG</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errBars>
            <c:errDir val="y"/>
            <c:errBarType val="both"/>
            <c:errValType val="cust"/>
            <c:plus>
              <c:numLit>
                <c:ptCount val="1"/>
                <c:pt idx="0">
                  <c:v>7.77759784449983</c:v>
                </c:pt>
              </c:numLit>
            </c:plus>
            <c:minus>
              <c:numLit>
                <c:ptCount val="1"/>
                <c:pt idx="0">
                  <c:v>0.8562503347445759</c:v>
                </c:pt>
              </c:numLit>
            </c:minus>
            <c:noEndCap val="1"/>
            <c:spPr>
              <a:ln w="12700">
                <a:solidFill>
                  <a:srgbClr val="FF6600"/>
                </a:solidFill>
              </a:ln>
            </c:spPr>
          </c:errBars>
          <c:xVal>
            <c:numLit>
              <c:ptCount val="1"/>
              <c:pt idx="0">
                <c:v>0.9294534639288824</c:v>
              </c:pt>
            </c:numLit>
          </c:xVal>
          <c:yVal>
            <c:numLit>
              <c:ptCount val="1"/>
              <c:pt idx="0">
                <c:v>0.8562503347445759</c:v>
              </c:pt>
            </c:numLit>
          </c:yVal>
          <c:smooth val="0"/>
        </c:ser>
        <c:ser>
          <c:idx val="6"/>
          <c:order val="6"/>
          <c:tx>
            <c:v>Kal.Untergrenze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errBars>
            <c:errDir val="y"/>
            <c:errBarType val="both"/>
            <c:errValType val="cust"/>
            <c:plus>
              <c:numLit>
                <c:ptCount val="1"/>
                <c:pt idx="0">
                  <c:v>7.633848179244406</c:v>
                </c:pt>
              </c:numLit>
            </c:plus>
            <c:minus>
              <c:numLit>
                <c:ptCount val="1"/>
                <c:pt idx="0">
                  <c:v>1</c:v>
                </c:pt>
              </c:numLit>
            </c:minus>
            <c:noEndCap val="0"/>
            <c:spPr>
              <a:ln w="12700">
                <a:solidFill/>
                <a:prstDash val="sysDot"/>
              </a:ln>
            </c:spPr>
          </c:errBars>
          <c:xVal>
            <c:numLit>
              <c:ptCount val="1"/>
              <c:pt idx="0">
                <c:v>1.0749999999999993</c:v>
              </c:pt>
            </c:numLit>
          </c:xVal>
          <c:yVal>
            <c:numLit>
              <c:ptCount val="1"/>
              <c:pt idx="0">
                <c:v>1</c:v>
              </c:pt>
            </c:numLit>
          </c:yVal>
          <c:smooth val="0"/>
        </c:ser>
        <c:ser>
          <c:idx val="7"/>
          <c:order val="7"/>
          <c:tx>
            <c:v>Kal.Obergrenze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errBars>
            <c:errDir val="y"/>
            <c:errBarType val="both"/>
            <c:errValType val="cust"/>
            <c:plus>
              <c:numLit>
                <c:ptCount val="1"/>
                <c:pt idx="0">
                  <c:v>0.6338481792444064</c:v>
                </c:pt>
              </c:numLit>
            </c:plus>
            <c:minus>
              <c:numLit>
                <c:ptCount val="1"/>
                <c:pt idx="0">
                  <c:v>8</c:v>
                </c:pt>
              </c:numLit>
            </c:minus>
            <c:noEndCap val="0"/>
            <c:spPr>
              <a:ln w="12700">
                <a:solidFill/>
                <a:prstDash val="sysDot"/>
              </a:ln>
            </c:spPr>
          </c:errBars>
          <c:xVal>
            <c:numLit>
              <c:ptCount val="1"/>
              <c:pt idx="0">
                <c:v>8.162500000000001</c:v>
              </c:pt>
            </c:numLit>
          </c:xVal>
          <c:yVal>
            <c:numLit>
              <c:ptCount val="1"/>
              <c:pt idx="0">
                <c:v>8</c:v>
              </c:pt>
            </c:numLit>
          </c:yVal>
          <c:smooth val="0"/>
        </c:ser>
        <c:axId val="26265326"/>
        <c:axId val="35061343"/>
      </c:scatterChart>
      <c:valAx>
        <c:axId val="26265326"/>
        <c:scaling>
          <c:orientation val="minMax"/>
        </c:scaling>
        <c:axPos val="b"/>
        <c:delete val="0"/>
        <c:numFmt formatCode="General" sourceLinked="1"/>
        <c:majorTickMark val="out"/>
        <c:minorTickMark val="none"/>
        <c:tickLblPos val="nextTo"/>
        <c:crossAx val="35061343"/>
        <c:crosses val="autoZero"/>
        <c:crossBetween val="midCat"/>
        <c:dispUnits/>
      </c:valAx>
      <c:valAx>
        <c:axId val="35061343"/>
        <c:scaling>
          <c:orientation val="minMax"/>
        </c:scaling>
        <c:axPos val="l"/>
        <c:title>
          <c:tx>
            <c:rich>
              <a:bodyPr vert="horz" rot="-5400000" anchor="ctr"/>
              <a:lstStyle/>
              <a:p>
                <a:pPr algn="ctr">
                  <a:defRPr/>
                </a:pPr>
                <a:r>
                  <a:rPr lang="en-US" cap="none" sz="100" b="1" i="0" u="none" baseline="0">
                    <a:latin typeface="Arial"/>
                    <a:ea typeface="Arial"/>
                    <a:cs typeface="Arial"/>
                  </a:rPr>
                  <a:t>Konzentration</a:t>
                </a:r>
              </a:p>
            </c:rich>
          </c:tx>
          <c:layout/>
          <c:overlay val="0"/>
          <c:spPr>
            <a:noFill/>
            <a:ln>
              <a:noFill/>
            </a:ln>
          </c:spPr>
        </c:title>
        <c:majorGridlines/>
        <c:delete val="0"/>
        <c:numFmt formatCode="General" sourceLinked="1"/>
        <c:majorTickMark val="out"/>
        <c:minorTickMark val="none"/>
        <c:tickLblPos val="nextTo"/>
        <c:crossAx val="26265326"/>
        <c:crosses val="autoZero"/>
        <c:crossBetween val="midCat"/>
        <c:dispUnits/>
      </c:valAx>
      <c:spPr>
        <a:solidFill>
          <a:srgbClr val="DDDDDD"/>
        </a:solidFill>
        <a:ln w="12700">
          <a:solidFill>
            <a:srgbClr val="808080"/>
          </a:solidFill>
        </a:ln>
      </c:spPr>
    </c:plotArea>
    <c:legend>
      <c:legendPos val="b"/>
      <c:layout/>
      <c:overlay val="0"/>
      <c:txPr>
        <a:bodyPr vert="horz" rot="0"/>
        <a:lstStyle/>
        <a:p>
          <a:pPr>
            <a:defRPr lang="en-US" cap="none" sz="72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52</xdr:row>
      <xdr:rowOff>47625</xdr:rowOff>
    </xdr:from>
    <xdr:to>
      <xdr:col>21</xdr:col>
      <xdr:colOff>1257300</xdr:colOff>
      <xdr:row>67</xdr:row>
      <xdr:rowOff>0</xdr:rowOff>
    </xdr:to>
    <xdr:graphicFrame>
      <xdr:nvGraphicFramePr>
        <xdr:cNvPr id="1" name="Chart 80"/>
        <xdr:cNvGraphicFramePr/>
      </xdr:nvGraphicFramePr>
      <xdr:xfrm>
        <a:off x="3800475" y="8143875"/>
        <a:ext cx="4943475" cy="2238375"/>
      </xdr:xfrm>
      <a:graphic>
        <a:graphicData uri="http://schemas.openxmlformats.org/drawingml/2006/chart">
          <c:chart xmlns:c="http://schemas.openxmlformats.org/drawingml/2006/chart" r:id="rId1"/>
        </a:graphicData>
      </a:graphic>
    </xdr:graphicFrame>
    <xdr:clientData/>
  </xdr:twoCellAnchor>
  <xdr:twoCellAnchor>
    <xdr:from>
      <xdr:col>20</xdr:col>
      <xdr:colOff>142875</xdr:colOff>
      <xdr:row>3</xdr:row>
      <xdr:rowOff>95250</xdr:rowOff>
    </xdr:from>
    <xdr:to>
      <xdr:col>21</xdr:col>
      <xdr:colOff>1247775</xdr:colOff>
      <xdr:row>10</xdr:row>
      <xdr:rowOff>114300</xdr:rowOff>
    </xdr:to>
    <xdr:sp>
      <xdr:nvSpPr>
        <xdr:cNvPr id="2" name="AutoShape 117"/>
        <xdr:cNvSpPr>
          <a:spLocks/>
        </xdr:cNvSpPr>
      </xdr:nvSpPr>
      <xdr:spPr>
        <a:xfrm>
          <a:off x="6905625" y="638175"/>
          <a:ext cx="1828800" cy="1171575"/>
        </a:xfrm>
        <a:prstGeom prst="cloudCallout">
          <a:avLst>
            <a:gd name="adj1" fmla="val -38018"/>
            <a:gd name="adj2" fmla="val 35217"/>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WICHTIG:
Bitte Innerhalb der Datenreihe keine Zellen frei lassen!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13</xdr:row>
      <xdr:rowOff>9525</xdr:rowOff>
    </xdr:from>
    <xdr:to>
      <xdr:col>24</xdr:col>
      <xdr:colOff>0</xdr:colOff>
      <xdr:row>29</xdr:row>
      <xdr:rowOff>28575</xdr:rowOff>
    </xdr:to>
    <xdr:graphicFrame>
      <xdr:nvGraphicFramePr>
        <xdr:cNvPr id="1" name="Chart 5"/>
        <xdr:cNvGraphicFramePr/>
      </xdr:nvGraphicFramePr>
      <xdr:xfrm>
        <a:off x="12315825" y="2181225"/>
        <a:ext cx="0" cy="2609850"/>
      </xdr:xfrm>
      <a:graphic>
        <a:graphicData uri="http://schemas.openxmlformats.org/drawingml/2006/chart">
          <c:chart xmlns:c="http://schemas.openxmlformats.org/drawingml/2006/chart" r:id="rId1"/>
        </a:graphicData>
      </a:graphic>
    </xdr:graphicFrame>
    <xdr:clientData/>
  </xdr:twoCellAnchor>
  <xdr:twoCellAnchor>
    <xdr:from>
      <xdr:col>24</xdr:col>
      <xdr:colOff>0</xdr:colOff>
      <xdr:row>29</xdr:row>
      <xdr:rowOff>76200</xdr:rowOff>
    </xdr:from>
    <xdr:to>
      <xdr:col>24</xdr:col>
      <xdr:colOff>0</xdr:colOff>
      <xdr:row>44</xdr:row>
      <xdr:rowOff>9525</xdr:rowOff>
    </xdr:to>
    <xdr:graphicFrame>
      <xdr:nvGraphicFramePr>
        <xdr:cNvPr id="2" name="Chart 6"/>
        <xdr:cNvGraphicFramePr/>
      </xdr:nvGraphicFramePr>
      <xdr:xfrm>
        <a:off x="12315825" y="4838700"/>
        <a:ext cx="0" cy="2362200"/>
      </xdr:xfrm>
      <a:graphic>
        <a:graphicData uri="http://schemas.openxmlformats.org/drawingml/2006/chart">
          <c:chart xmlns:c="http://schemas.openxmlformats.org/drawingml/2006/chart" r:id="rId2"/>
        </a:graphicData>
      </a:graphic>
    </xdr:graphicFrame>
    <xdr:clientData/>
  </xdr:twoCellAnchor>
  <xdr:twoCellAnchor>
    <xdr:from>
      <xdr:col>24</xdr:col>
      <xdr:colOff>0</xdr:colOff>
      <xdr:row>3</xdr:row>
      <xdr:rowOff>0</xdr:rowOff>
    </xdr:from>
    <xdr:to>
      <xdr:col>27</xdr:col>
      <xdr:colOff>561975</xdr:colOff>
      <xdr:row>15</xdr:row>
      <xdr:rowOff>9525</xdr:rowOff>
    </xdr:to>
    <xdr:graphicFrame>
      <xdr:nvGraphicFramePr>
        <xdr:cNvPr id="3" name="Chart 20"/>
        <xdr:cNvGraphicFramePr/>
      </xdr:nvGraphicFramePr>
      <xdr:xfrm>
        <a:off x="12315825" y="552450"/>
        <a:ext cx="2847975" cy="195262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16</xdr:row>
      <xdr:rowOff>0</xdr:rowOff>
    </xdr:from>
    <xdr:to>
      <xdr:col>27</xdr:col>
      <xdr:colOff>561975</xdr:colOff>
      <xdr:row>28</xdr:row>
      <xdr:rowOff>57150</xdr:rowOff>
    </xdr:to>
    <xdr:graphicFrame>
      <xdr:nvGraphicFramePr>
        <xdr:cNvPr id="4" name="Chart 21"/>
        <xdr:cNvGraphicFramePr/>
      </xdr:nvGraphicFramePr>
      <xdr:xfrm>
        <a:off x="12315825" y="2657475"/>
        <a:ext cx="2847975" cy="20002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sp>
      <xdr:nvSpPr>
        <xdr:cNvPr id="1" name="AutoShape 2"/>
        <xdr:cNvSpPr>
          <a:spLocks/>
        </xdr:cNvSpPr>
      </xdr:nvSpPr>
      <xdr:spPr>
        <a:xfrm>
          <a:off x="133350" y="0"/>
          <a:ext cx="5010150" cy="0"/>
        </a:xfrm>
        <a:prstGeom prst="wedgeRoundRectCallout">
          <a:avLst>
            <a:gd name="adj1" fmla="val -7018"/>
            <a:gd name="adj2" fmla="val 53476"/>
          </a:avLst>
        </a:prstGeom>
        <a:solidFill>
          <a:srgbClr val="FFFF99"/>
        </a:solidFill>
        <a:ln w="9525" cmpd="sng">
          <a:solidFill>
            <a:srgbClr val="000000"/>
          </a:solidFill>
          <a:headEnd type="none"/>
          <a:tailEnd type="none"/>
        </a:ln>
      </xdr:spPr>
      <xdr:txBody>
        <a:bodyPr vertOverflow="clip" wrap="square" anchor="ctr"/>
        <a:p>
          <a:pPr algn="l">
            <a:defRPr/>
          </a:pPr>
          <a:r>
            <a:rPr lang="en-US" cap="none" sz="1200" b="1" i="0" u="none" baseline="0">
              <a:solidFill>
                <a:srgbClr val="0000FF"/>
              </a:solidFill>
              <a:latin typeface="Arial"/>
              <a:ea typeface="Arial"/>
              <a:cs typeface="Arial"/>
            </a:rPr>
            <a:t>Die Umkehrung des Zusammenhangs zwischen x und y ist sehr bedenklich. 
Die Umkehrung der Kalibrierfunktion (y=a + bx) ist die Analysenfunktion. Diese ist nicht identisch mit der Funktion x=a*+b*y!
Diese Funktionen schließen einen Winkel ein, der von der Streuung der Messwerte abhängig ist. Er verschwindet nur dann, wenn es einen analytischen Zusammenhang zwischen den y- und x-Werten gibt. Dann ist auch der Fehler der Kalibrierkurve = 0. </a:t>
          </a:r>
        </a:p>
      </xdr:txBody>
    </xdr:sp>
    <xdr:clientData/>
  </xdr:twoCellAnchor>
  <xdr:twoCellAnchor>
    <xdr:from>
      <xdr:col>0</xdr:col>
      <xdr:colOff>0</xdr:colOff>
      <xdr:row>92</xdr:row>
      <xdr:rowOff>0</xdr:rowOff>
    </xdr:from>
    <xdr:to>
      <xdr:col>0</xdr:col>
      <xdr:colOff>0</xdr:colOff>
      <xdr:row>92</xdr:row>
      <xdr:rowOff>0</xdr:rowOff>
    </xdr:to>
    <xdr:graphicFrame>
      <xdr:nvGraphicFramePr>
        <xdr:cNvPr id="2" name="Chart 4"/>
        <xdr:cNvGraphicFramePr/>
      </xdr:nvGraphicFramePr>
      <xdr:xfrm>
        <a:off x="0" y="166020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3" name="Chart 5"/>
        <xdr:cNvGraphicFramePr/>
      </xdr:nvGraphicFramePr>
      <xdr:xfrm>
        <a:off x="0" y="166020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4" name="Chart 6"/>
        <xdr:cNvGraphicFramePr/>
      </xdr:nvGraphicFramePr>
      <xdr:xfrm>
        <a:off x="0" y="166020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5" name="Chart 7"/>
        <xdr:cNvGraphicFramePr/>
      </xdr:nvGraphicFramePr>
      <xdr:xfrm>
        <a:off x="0" y="166020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6" name="Chart 8"/>
        <xdr:cNvGraphicFramePr/>
      </xdr:nvGraphicFramePr>
      <xdr:xfrm>
        <a:off x="0" y="16602075"/>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130</xdr:row>
      <xdr:rowOff>0</xdr:rowOff>
    </xdr:from>
    <xdr:to>
      <xdr:col>12</xdr:col>
      <xdr:colOff>0</xdr:colOff>
      <xdr:row>145</xdr:row>
      <xdr:rowOff>152400</xdr:rowOff>
    </xdr:to>
    <xdr:graphicFrame>
      <xdr:nvGraphicFramePr>
        <xdr:cNvPr id="7" name="Chart 9"/>
        <xdr:cNvGraphicFramePr/>
      </xdr:nvGraphicFramePr>
      <xdr:xfrm>
        <a:off x="0" y="21936075"/>
        <a:ext cx="7277100" cy="2581275"/>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A1" sqref="A1"/>
    </sheetView>
  </sheetViews>
  <sheetFormatPr defaultColWidth="11.421875" defaultRowHeight="12.75"/>
  <cols>
    <col min="1" max="16384" width="11.57421875" style="11" customWidth="1"/>
  </cols>
  <sheetData>
    <row r="11" spans="2:4" ht="17.25">
      <c r="B11" s="301" t="s">
        <v>130</v>
      </c>
      <c r="D11" s="302" t="s">
        <v>131</v>
      </c>
    </row>
    <row r="13" spans="2:13" ht="17.25">
      <c r="B13" s="303" t="s">
        <v>132</v>
      </c>
      <c r="C13" s="303"/>
      <c r="D13" s="303"/>
      <c r="E13" s="303"/>
      <c r="F13" s="303"/>
      <c r="G13" s="303"/>
      <c r="H13" s="303"/>
      <c r="I13" s="303"/>
      <c r="J13" s="303"/>
      <c r="K13" s="303"/>
      <c r="L13" s="303"/>
      <c r="M13" s="303"/>
    </row>
    <row r="14" spans="2:13" ht="13.5">
      <c r="B14" s="304" t="s">
        <v>133</v>
      </c>
      <c r="C14" s="304"/>
      <c r="D14" s="304"/>
      <c r="E14" s="304"/>
      <c r="F14" s="304"/>
      <c r="G14" s="304"/>
      <c r="H14" s="304"/>
      <c r="I14" s="304"/>
      <c r="J14" s="304"/>
      <c r="K14" s="304"/>
      <c r="L14" s="304"/>
      <c r="M14" s="304"/>
    </row>
    <row r="16" spans="2:13" ht="12.75">
      <c r="B16" s="305" t="s">
        <v>134</v>
      </c>
      <c r="C16" s="305"/>
      <c r="D16" s="305"/>
      <c r="E16" s="305"/>
      <c r="F16" s="305"/>
      <c r="G16" s="305"/>
      <c r="H16" s="305"/>
      <c r="I16" s="305"/>
      <c r="J16" s="305"/>
      <c r="K16" s="305"/>
      <c r="L16" s="305"/>
      <c r="M16" s="305"/>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sheetPr codeName="Tabelle1">
    <pageSetUpPr fitToPage="1"/>
  </sheetPr>
  <dimension ref="A1:AA79"/>
  <sheetViews>
    <sheetView workbookViewId="0" topLeftCell="A1">
      <selection activeCell="L9" sqref="L9"/>
    </sheetView>
  </sheetViews>
  <sheetFormatPr defaultColWidth="11.421875" defaultRowHeight="12.75"/>
  <cols>
    <col min="1" max="10" width="0.13671875" style="11" customWidth="1"/>
    <col min="11" max="11" width="2.28125" style="283" bestFit="1" customWidth="1"/>
    <col min="12" max="12" width="18.7109375" style="283" customWidth="1"/>
    <col min="13" max="13" width="10.7109375" style="11" customWidth="1"/>
    <col min="14" max="15" width="0.13671875" style="11" customWidth="1"/>
    <col min="16" max="16" width="10.8515625" style="11" customWidth="1"/>
    <col min="17" max="17" width="12.28125" style="11" customWidth="1"/>
    <col min="18" max="18" width="26.28125" style="11" customWidth="1"/>
    <col min="19" max="19" width="6.57421875" style="11" customWidth="1"/>
    <col min="20" max="20" width="12.00390625" style="11" customWidth="1"/>
    <col min="21" max="21" width="10.8515625" style="11" customWidth="1"/>
    <col min="22" max="22" width="19.00390625" style="11" customWidth="1"/>
    <col min="23" max="23" width="3.421875" style="11" customWidth="1"/>
    <col min="24" max="24" width="10.421875" style="11" customWidth="1"/>
    <col min="25" max="25" width="6.421875" style="11" customWidth="1"/>
    <col min="26" max="16384" width="11.421875" style="11" customWidth="1"/>
  </cols>
  <sheetData>
    <row r="1" spans="1:23" ht="18" customHeight="1">
      <c r="A1" s="210" t="s">
        <v>7</v>
      </c>
      <c r="B1" s="211"/>
      <c r="C1" s="211"/>
      <c r="D1" s="211"/>
      <c r="E1" s="211"/>
      <c r="F1" s="211"/>
      <c r="G1" s="211"/>
      <c r="H1" s="211"/>
      <c r="I1" s="211"/>
      <c r="J1" s="211"/>
      <c r="K1" s="212"/>
      <c r="L1" s="212"/>
      <c r="M1" s="213"/>
      <c r="N1" s="213"/>
      <c r="O1" s="213"/>
      <c r="P1" s="213"/>
      <c r="Q1" s="213"/>
      <c r="R1" s="213"/>
      <c r="S1" s="213"/>
      <c r="T1" s="213"/>
      <c r="U1" s="176" t="s">
        <v>62</v>
      </c>
      <c r="V1" s="178" t="s">
        <v>135</v>
      </c>
      <c r="W1" s="285"/>
    </row>
    <row r="2" spans="2:23" ht="12.75" customHeight="1">
      <c r="B2" s="214"/>
      <c r="C2" s="214"/>
      <c r="D2" s="214"/>
      <c r="E2" s="214"/>
      <c r="F2" s="214"/>
      <c r="G2" s="214"/>
      <c r="H2" s="214"/>
      <c r="I2" s="214"/>
      <c r="J2" s="214"/>
      <c r="K2" s="215"/>
      <c r="L2" s="216"/>
      <c r="N2" s="217"/>
      <c r="O2" s="217"/>
      <c r="P2" s="218"/>
      <c r="Q2" s="218"/>
      <c r="R2" s="218"/>
      <c r="S2" s="218"/>
      <c r="T2" s="218"/>
      <c r="U2" s="219" t="s">
        <v>136</v>
      </c>
      <c r="W2" s="286"/>
    </row>
    <row r="3" spans="1:23" ht="12" customHeight="1">
      <c r="A3" s="2"/>
      <c r="B3" s="79"/>
      <c r="C3" s="79"/>
      <c r="D3" s="79"/>
      <c r="E3" s="79"/>
      <c r="F3" s="79"/>
      <c r="G3" s="79"/>
      <c r="H3" s="79"/>
      <c r="I3" s="79"/>
      <c r="J3" s="79"/>
      <c r="K3" s="84"/>
      <c r="L3" s="84"/>
      <c r="M3" s="60" t="s">
        <v>31</v>
      </c>
      <c r="N3" s="220"/>
      <c r="O3" s="220"/>
      <c r="P3" s="62" t="s">
        <v>127</v>
      </c>
      <c r="Q3" s="59"/>
      <c r="R3" s="48"/>
      <c r="S3" s="49"/>
      <c r="T3" s="50"/>
      <c r="U3" s="221" t="s">
        <v>129</v>
      </c>
      <c r="W3" s="287"/>
    </row>
    <row r="4" spans="1:23" ht="12.75" customHeight="1" thickBot="1">
      <c r="A4" s="3"/>
      <c r="B4" s="80"/>
      <c r="C4" s="80"/>
      <c r="D4" s="80"/>
      <c r="E4" s="80"/>
      <c r="F4" s="80"/>
      <c r="G4" s="80"/>
      <c r="H4" s="80"/>
      <c r="I4" s="80"/>
      <c r="J4" s="80"/>
      <c r="K4" s="85"/>
      <c r="L4" s="85"/>
      <c r="M4" s="61" t="s">
        <v>32</v>
      </c>
      <c r="N4" s="196"/>
      <c r="O4" s="222"/>
      <c r="P4" s="63" t="str">
        <f>"mit  rm ("&amp;'Stat. Vergleichstabellen'!L37&amp;"%)"</f>
        <v>mit  rm (99%)</v>
      </c>
      <c r="Q4" s="4"/>
      <c r="R4" s="70" t="s">
        <v>33</v>
      </c>
      <c r="S4" s="306"/>
      <c r="T4" s="307"/>
      <c r="U4" s="223"/>
      <c r="V4" s="224"/>
      <c r="W4" s="285"/>
    </row>
    <row r="5" spans="1:26" s="227" customFormat="1" ht="12" customHeight="1" thickBot="1">
      <c r="A5" s="3"/>
      <c r="B5" s="82"/>
      <c r="C5" s="82"/>
      <c r="D5" s="82" t="s">
        <v>101</v>
      </c>
      <c r="E5" s="82" t="s">
        <v>100</v>
      </c>
      <c r="F5" s="185" t="s">
        <v>30</v>
      </c>
      <c r="G5" s="82" t="s">
        <v>46</v>
      </c>
      <c r="H5" s="82" t="s">
        <v>47</v>
      </c>
      <c r="I5" s="82" t="s">
        <v>48</v>
      </c>
      <c r="J5" s="82" t="s">
        <v>49</v>
      </c>
      <c r="K5" s="86" t="s">
        <v>44</v>
      </c>
      <c r="L5" s="209" t="s">
        <v>128</v>
      </c>
      <c r="M5" s="83">
        <v>2</v>
      </c>
      <c r="N5" s="225" t="s">
        <v>34</v>
      </c>
      <c r="O5" s="226" t="s">
        <v>122</v>
      </c>
      <c r="P5" s="5" t="s">
        <v>6</v>
      </c>
      <c r="Q5" s="45" t="str">
        <f>"Soll="&amp;M5</f>
        <v>Soll=2</v>
      </c>
      <c r="R5" s="7"/>
      <c r="S5" s="46"/>
      <c r="T5" s="52"/>
      <c r="U5" s="223"/>
      <c r="W5" s="288"/>
      <c r="X5" s="11"/>
      <c r="Y5" s="11"/>
      <c r="Z5" s="11"/>
    </row>
    <row r="6" spans="1:26" s="227" customFormat="1" ht="18" customHeight="1">
      <c r="A6" s="97"/>
      <c r="B6" s="82"/>
      <c r="C6" s="82"/>
      <c r="D6" s="82"/>
      <c r="E6" s="82"/>
      <c r="F6" s="185"/>
      <c r="G6" s="82"/>
      <c r="H6" s="82"/>
      <c r="I6" s="82"/>
      <c r="J6" s="82"/>
      <c r="K6" s="86"/>
      <c r="L6" s="340" t="s">
        <v>125</v>
      </c>
      <c r="M6" s="296" t="s">
        <v>80</v>
      </c>
      <c r="N6" s="228"/>
      <c r="O6" s="226"/>
      <c r="P6" s="343"/>
      <c r="Q6" s="344"/>
      <c r="R6" s="7" t="s">
        <v>21</v>
      </c>
      <c r="S6" s="46"/>
      <c r="T6" s="52"/>
      <c r="U6" s="223"/>
      <c r="V6" s="11"/>
      <c r="W6" s="285"/>
      <c r="X6" s="11"/>
      <c r="Y6" s="11"/>
      <c r="Z6" s="11"/>
    </row>
    <row r="7" spans="1:23" ht="12" customHeight="1">
      <c r="A7" s="95" t="str">
        <f aca="true" t="shared" si="0" ref="A7:A38">IF(ISBLANK(M7),"",IF(M7=MAX(M$7:M$66),"(MAX)",IF(M7=MIN(M$7:M$66),"(MIN)","")))</f>
        <v>(MIN)</v>
      </c>
      <c r="B7" s="81">
        <v>1</v>
      </c>
      <c r="C7" s="81">
        <f aca="true" t="shared" si="1" ref="C7:C38">IF(ISBLANK(M7),#N/A,B7)</f>
        <v>1</v>
      </c>
      <c r="D7" s="81">
        <f>IF(ISBLANK(M$5),#N/A,M$5)</f>
        <v>2</v>
      </c>
      <c r="E7" s="81">
        <f aca="true" t="shared" si="2" ref="E7:E67">IF(OR(ISBLANK(M7),ISTEXT(M7)),#N/A,M7)</f>
        <v>1</v>
      </c>
      <c r="F7" s="81">
        <f aca="true" t="shared" si="3" ref="F7:F38">IF(ISBLANK(M7),#N/A,AVERAGE(M$7:M$66))</f>
        <v>2.5</v>
      </c>
      <c r="G7" s="81">
        <f aca="true" t="shared" si="4" ref="G7:G38">IF(ISBLANK(M7),#N/A,AVERAGE(M$7:M$66)+G$67)</f>
        <v>5.293520922024211</v>
      </c>
      <c r="H7" s="81">
        <f aca="true" t="shared" si="5" ref="H7:H38">IF(ISBLANK(M7),#N/A,AVERAGE(M$7:M$66)-G$67)</f>
        <v>-0.29352092202421076</v>
      </c>
      <c r="I7" s="81">
        <f aca="true" t="shared" si="6" ref="I7:I38">IF(ISBLANK(M7),#N/A,AVERAGE(M$7:M$66)+2*I$67)</f>
        <v>7.936502143433364</v>
      </c>
      <c r="J7" s="81">
        <f aca="true" t="shared" si="7" ref="J7:J38">IF(ISBLANK(M7),#N/A,AVERAGE(M$7:M$66)-2*I$67)</f>
        <v>-2.936502143433364</v>
      </c>
      <c r="K7" s="87">
        <v>1</v>
      </c>
      <c r="L7" s="297"/>
      <c r="M7" s="298">
        <v>1</v>
      </c>
      <c r="N7" s="229">
        <f aca="true" t="shared" si="8" ref="N7:N65">IF(OR(ISBLANK(M7),ISTEXT(M7),ISBLANK(M8)),"",IF(AND(ISBLANK(M8),ISBLANK(M9)),"",IF(ISTEXT(M8),(M7-M9)^2,(M7-M8)^2)))</f>
        <v>1</v>
      </c>
      <c r="O7" s="229">
        <f>IF(ISTEXT(M7),1,"")</f>
      </c>
      <c r="P7" s="8" t="str">
        <f>IF(OR(ISBLANK(M7),SUM(M$7:M$66)=0),"",IF(ISERROR(((M7-AVERAGE(M$7:M$66))/STDEV(M$7:M$66))&lt;((T$12-1)/SQRT(T$12)*SQRT(TINV(((100-S$10)/100)/(T$12/2),T$12-2)^2/(T$12-2+TINV(((100-S$10)/100)/(T$12/2),T$12-2)^2)))),"L",IF(ABS((M7-AVERAGE(M$7:M$66))/STDEV(M$7:M$66))&lt;((T$12-1)/SQRT(T$12)*SQRT(TINV(((100-S$10)/100)/(T$12/2),T$12-2)^2/(T$12-2+TINV(((100-S$10)/100)/(T$12/2),T$12-2)^2))),"ü","û")))</f>
        <v>ü</v>
      </c>
      <c r="Q7" s="102" t="str">
        <f>IF(OR((M$5)=0,(M7)=0),"",IF(ISERROR(((M7-AVERAGE(M7:M66))/STDEV(M$7:M$66))&lt;((T$12-1)/SQRT(T$12)*SQRT(TINV(((100-S$10)/100)/(T$12/2),T$12-2)^2/(T$12-2+TINV(((100-S$10)/100)/(T$12/2),T$12-2)^2)))),"L",IF(AND(((M7-M$5)/STDEV(M$7:M$66))&lt;((T$12-1)/SQRT(T$12)*SQRT(TINV(((100-S$10)/100)/(T$12/2),T$12-2)^2/(T$12-2+TINV(((100-S$10)/100)/(T$12/2),T$12-2)^2))),(-((M7-M$5)/STDEV(M$7:M$66))&lt;((T$12-1)/SQRT(T$12)*SQRT(TINV(((100-S$10)/100)/(T$12/2),T$12-2)^2/(T$12-2+TINV(((100-S$10)/100)/(T$12/2),T$12-2)^2))))),"ü","û")))</f>
        <v>ü</v>
      </c>
      <c r="R7" s="7" t="s">
        <v>22</v>
      </c>
      <c r="S7" s="230">
        <v>2</v>
      </c>
      <c r="T7" s="52"/>
      <c r="U7" s="223"/>
      <c r="W7" s="285"/>
    </row>
    <row r="8" spans="1:26" ht="12" customHeight="1">
      <c r="A8" s="95">
        <f t="shared" si="0"/>
      </c>
      <c r="B8" s="81">
        <v>2</v>
      </c>
      <c r="C8" s="81">
        <f t="shared" si="1"/>
        <v>2</v>
      </c>
      <c r="D8" s="81">
        <f>IF(ISBLANK(M$5),#N/A,M$5)</f>
        <v>2</v>
      </c>
      <c r="E8" s="81">
        <f t="shared" si="2"/>
        <v>2</v>
      </c>
      <c r="F8" s="81">
        <f t="shared" si="3"/>
        <v>2.5</v>
      </c>
      <c r="G8" s="81">
        <f t="shared" si="4"/>
        <v>5.293520922024211</v>
      </c>
      <c r="H8" s="81">
        <f t="shared" si="5"/>
        <v>-0.29352092202421076</v>
      </c>
      <c r="I8" s="81">
        <f t="shared" si="6"/>
        <v>7.936502143433364</v>
      </c>
      <c r="J8" s="81">
        <f t="shared" si="7"/>
        <v>-2.936502143433364</v>
      </c>
      <c r="K8" s="87">
        <v>2</v>
      </c>
      <c r="L8" s="297"/>
      <c r="M8" s="298">
        <v>2</v>
      </c>
      <c r="N8" s="229">
        <f t="shared" si="8"/>
        <v>64</v>
      </c>
      <c r="O8" s="229">
        <f>IF(ISTEXT(M8),1,"")</f>
      </c>
      <c r="P8" s="8" t="str">
        <f>IF(OR(ISBLANK(M8),SUM(M$7:M$66)=0),"",IF(ISERROR(((M8-AVERAGE(M$7:M$66))/STDEV(M$7:M$66))&lt;((T$12-1)/SQRT(T$12)*SQRT(TINV(((100-S$10)/100)/(T$12/2),T$12-2)^2/(T$12-2+TINV(((100-S$10)/100)/(T$12/2),T$12-2)^2)))),"L",IF(ABS((M8-AVERAGE(M$7:M$66))/STDEV(M$7:M$66))&lt;((T$12-1)/SQRT(T$12)*SQRT(TINV(((100-S$10)/100)/(T$12/2),T$12-2)^2/(T$12-2+TINV(((100-S$10)/100)/(T$12/2),T$12-2)^2))),"ü","û")))</f>
        <v>ü</v>
      </c>
      <c r="Q8" s="102" t="str">
        <f>IF(OR((M$5)=0,(M8)=0),"",IF(ISERROR(((M8-AVERAGE(M8:M67))/STDEV(M$7:M$66))&lt;((T$12-1)/SQRT(T$12)*SQRT(TINV(((100-S$10)/100)/(T$12/2),T$12-2)^2/(T$12-2+TINV(((100-S$10)/100)/(T$12/2),T$12-2)^2)))),"L",IF(AND(((M8-M$5)/STDEV(M$7:M$66))&lt;((T$12-1)/SQRT(T$12)*SQRT(TINV(((100-S$10)/100)/(T$12/2),T$12-2)^2/(T$12-2+TINV(((100-S$10)/100)/(T$12/2),T$12-2)^2))),(-((M8-M$5)/STDEV(M$7:M$66))&lt;((T$12-1)/SQRT(T$12)*SQRT(TINV(((100-S$10)/100)/(T$12/2),T$12-2)^2/(T$12-2+TINV(((100-S$10)/100)/(T$12/2),T$12-2)^2))))),"ü","û")))</f>
        <v>ü</v>
      </c>
      <c r="R8" s="7" t="s">
        <v>94</v>
      </c>
      <c r="S8" s="230">
        <v>3</v>
      </c>
      <c r="T8" s="52"/>
      <c r="U8" s="223"/>
      <c r="W8" s="285"/>
      <c r="Y8" s="227"/>
      <c r="Z8" s="227"/>
    </row>
    <row r="9" spans="1:23" ht="12" customHeight="1">
      <c r="A9" s="95" t="str">
        <f t="shared" si="0"/>
        <v>(MAX)</v>
      </c>
      <c r="B9" s="81">
        <v>3</v>
      </c>
      <c r="C9" s="81">
        <f t="shared" si="1"/>
        <v>3</v>
      </c>
      <c r="D9" s="81">
        <f aca="true" t="shared" si="9" ref="D9:D66">IF(ISBLANK(M$5),#N/A,M$5)</f>
        <v>2</v>
      </c>
      <c r="E9" s="81">
        <f t="shared" si="2"/>
        <v>10</v>
      </c>
      <c r="F9" s="81">
        <f t="shared" si="3"/>
        <v>2.5</v>
      </c>
      <c r="G9" s="81">
        <f t="shared" si="4"/>
        <v>5.293520922024211</v>
      </c>
      <c r="H9" s="81">
        <f t="shared" si="5"/>
        <v>-0.29352092202421076</v>
      </c>
      <c r="I9" s="81">
        <f t="shared" si="6"/>
        <v>7.936502143433364</v>
      </c>
      <c r="J9" s="81">
        <f t="shared" si="7"/>
        <v>-2.936502143433364</v>
      </c>
      <c r="K9" s="87">
        <v>3</v>
      </c>
      <c r="L9" s="297"/>
      <c r="M9" s="298">
        <v>10</v>
      </c>
      <c r="N9" s="229">
        <f t="shared" si="8"/>
        <v>64</v>
      </c>
      <c r="O9" s="229">
        <f aca="true" t="shared" si="10" ref="O9:O67">IF(ISTEXT(M9),1,"")</f>
      </c>
      <c r="P9" s="8" t="str">
        <f aca="true" t="shared" si="11" ref="P9:P67">IF(OR(ISBLANK(M9),SUM(M$7:M$66)=0),"",IF(ISERROR(((M9-AVERAGE(M$7:M$66))/STDEV(M$7:M$66))&lt;((T$12-1)/SQRT(T$12)*SQRT(TINV(((100-S$10)/100)/(T$12/2),T$12-2)^2/(T$12-2+TINV(((100-S$10)/100)/(T$12/2),T$12-2)^2)))),"L",IF(ABS((M9-AVERAGE(M$7:M$66))/STDEV(M$7:M$66))&lt;((T$12-1)/SQRT(T$12)*SQRT(TINV(((100-S$10)/100)/(T$12/2),T$12-2)^2/(T$12-2+TINV(((100-S$10)/100)/(T$12/2),T$12-2)^2))),"ü","û")))</f>
        <v>û</v>
      </c>
      <c r="Q9" s="102" t="str">
        <f aca="true" t="shared" si="12" ref="Q9:Q67">IF(OR((M$5)=0,(M9)=0),"",IF(ISERROR(((M9-AVERAGE(M9:M68))/STDEV(M$7:M$66))&lt;((T$12-1)/SQRT(T$12)*SQRT(TINV(((100-S$10)/100)/(T$12/2),T$12-2)^2/(T$12-2+TINV(((100-S$10)/100)/(T$12/2),T$12-2)^2)))),"L",IF(AND(((M9-M$5)/STDEV(M$7:M$66))&lt;((T$12-1)/SQRT(T$12)*SQRT(TINV(((100-S$10)/100)/(T$12/2),T$12-2)^2/(T$12-2+TINV(((100-S$10)/100)/(T$12/2),T$12-2)^2))),(-((M9-M$5)/STDEV(M$7:M$66))&lt;((T$12-1)/SQRT(T$12)*SQRT(TINV(((100-S$10)/100)/(T$12/2),T$12-2)^2/(T$12-2+TINV(((100-S$10)/100)/(T$12/2),T$12-2)^2))))),"ü","û")))</f>
        <v>û</v>
      </c>
      <c r="R9" s="46"/>
      <c r="S9" s="46"/>
      <c r="T9" s="52"/>
      <c r="U9" s="223"/>
      <c r="W9" s="285"/>
    </row>
    <row r="10" spans="1:23" ht="12" customHeight="1">
      <c r="A10" s="95">
        <f t="shared" si="0"/>
      </c>
      <c r="B10" s="81">
        <v>4</v>
      </c>
      <c r="C10" s="81">
        <f t="shared" si="1"/>
        <v>4</v>
      </c>
      <c r="D10" s="81">
        <f t="shared" si="9"/>
        <v>2</v>
      </c>
      <c r="E10" s="81">
        <f t="shared" si="2"/>
        <v>2</v>
      </c>
      <c r="F10" s="81">
        <f t="shared" si="3"/>
        <v>2.5</v>
      </c>
      <c r="G10" s="81">
        <f t="shared" si="4"/>
        <v>5.293520922024211</v>
      </c>
      <c r="H10" s="81">
        <f t="shared" si="5"/>
        <v>-0.29352092202421076</v>
      </c>
      <c r="I10" s="81">
        <f t="shared" si="6"/>
        <v>7.936502143433364</v>
      </c>
      <c r="J10" s="81">
        <f t="shared" si="7"/>
        <v>-2.936502143433364</v>
      </c>
      <c r="K10" s="87">
        <v>4</v>
      </c>
      <c r="L10" s="297"/>
      <c r="M10" s="298">
        <v>2</v>
      </c>
      <c r="N10" s="229">
        <f t="shared" si="8"/>
        <v>1</v>
      </c>
      <c r="O10" s="229">
        <f t="shared" si="10"/>
      </c>
      <c r="P10" s="8" t="str">
        <f t="shared" si="11"/>
        <v>ü</v>
      </c>
      <c r="Q10" s="102" t="str">
        <f t="shared" si="12"/>
        <v>ü</v>
      </c>
      <c r="R10" s="53" t="s">
        <v>108</v>
      </c>
      <c r="S10" s="230">
        <v>99</v>
      </c>
      <c r="T10" s="54" t="s">
        <v>16</v>
      </c>
      <c r="U10" s="231"/>
      <c r="W10" s="285"/>
    </row>
    <row r="11" spans="1:23" ht="12" customHeight="1">
      <c r="A11" s="95" t="str">
        <f t="shared" si="0"/>
        <v>(MIN)</v>
      </c>
      <c r="B11" s="81">
        <v>5</v>
      </c>
      <c r="C11" s="81">
        <f t="shared" si="1"/>
        <v>5</v>
      </c>
      <c r="D11" s="81">
        <f t="shared" si="9"/>
        <v>2</v>
      </c>
      <c r="E11" s="81">
        <f t="shared" si="2"/>
        <v>1</v>
      </c>
      <c r="F11" s="81">
        <f t="shared" si="3"/>
        <v>2.5</v>
      </c>
      <c r="G11" s="81">
        <f t="shared" si="4"/>
        <v>5.293520922024211</v>
      </c>
      <c r="H11" s="81">
        <f t="shared" si="5"/>
        <v>-0.29352092202421076</v>
      </c>
      <c r="I11" s="81">
        <f t="shared" si="6"/>
        <v>7.936502143433364</v>
      </c>
      <c r="J11" s="81">
        <f t="shared" si="7"/>
        <v>-2.936502143433364</v>
      </c>
      <c r="K11" s="87">
        <v>5</v>
      </c>
      <c r="L11" s="297"/>
      <c r="M11" s="298">
        <v>1</v>
      </c>
      <c r="N11" s="229">
        <f t="shared" si="8"/>
        <v>1</v>
      </c>
      <c r="O11" s="229">
        <f t="shared" si="10"/>
      </c>
      <c r="P11" s="8" t="str">
        <f t="shared" si="11"/>
        <v>ü</v>
      </c>
      <c r="Q11" s="102" t="str">
        <f t="shared" si="12"/>
        <v>ü</v>
      </c>
      <c r="R11" s="9" t="str">
        <f>"      =&gt;   ALPHA = "&amp;ROUND((100-S10)/100,3)</f>
        <v>      =&gt;   ALPHA = 0,01</v>
      </c>
      <c r="S11" s="89"/>
      <c r="T11" s="55"/>
      <c r="U11" s="233"/>
      <c r="W11" s="285"/>
    </row>
    <row r="12" spans="1:23" ht="12" customHeight="1">
      <c r="A12" s="95">
        <f t="shared" si="0"/>
      </c>
      <c r="B12" s="81">
        <v>6</v>
      </c>
      <c r="C12" s="81">
        <f t="shared" si="1"/>
        <v>6</v>
      </c>
      <c r="D12" s="81">
        <f t="shared" si="9"/>
        <v>2</v>
      </c>
      <c r="E12" s="81">
        <f t="shared" si="2"/>
        <v>2</v>
      </c>
      <c r="F12" s="81">
        <f t="shared" si="3"/>
        <v>2.5</v>
      </c>
      <c r="G12" s="81">
        <f t="shared" si="4"/>
        <v>5.293520922024211</v>
      </c>
      <c r="H12" s="81">
        <f t="shared" si="5"/>
        <v>-0.29352092202421076</v>
      </c>
      <c r="I12" s="81">
        <f t="shared" si="6"/>
        <v>7.936502143433364</v>
      </c>
      <c r="J12" s="81">
        <f t="shared" si="7"/>
        <v>-2.936502143433364</v>
      </c>
      <c r="K12" s="87">
        <v>6</v>
      </c>
      <c r="L12" s="297"/>
      <c r="M12" s="298">
        <v>2</v>
      </c>
      <c r="N12" s="229">
        <f t="shared" si="8"/>
        <v>1</v>
      </c>
      <c r="O12" s="229">
        <f t="shared" si="10"/>
      </c>
      <c r="P12" s="8" t="str">
        <f t="shared" si="11"/>
        <v>ü</v>
      </c>
      <c r="Q12" s="102" t="str">
        <f t="shared" si="12"/>
        <v>ü</v>
      </c>
      <c r="R12" s="234" t="s">
        <v>4</v>
      </c>
      <c r="S12" s="227" t="s">
        <v>9</v>
      </c>
      <c r="T12" s="137">
        <f>COUNT(M7:M66)</f>
        <v>10</v>
      </c>
      <c r="U12" s="137"/>
      <c r="W12" s="285"/>
    </row>
    <row r="13" spans="1:27" ht="12" customHeight="1">
      <c r="A13" s="95" t="str">
        <f t="shared" si="0"/>
        <v>(MIN)</v>
      </c>
      <c r="B13" s="81">
        <v>7</v>
      </c>
      <c r="C13" s="81">
        <f t="shared" si="1"/>
        <v>7</v>
      </c>
      <c r="D13" s="81">
        <f t="shared" si="9"/>
        <v>2</v>
      </c>
      <c r="E13" s="81">
        <f t="shared" si="2"/>
        <v>1</v>
      </c>
      <c r="F13" s="81">
        <f t="shared" si="3"/>
        <v>2.5</v>
      </c>
      <c r="G13" s="81">
        <f t="shared" si="4"/>
        <v>5.293520922024211</v>
      </c>
      <c r="H13" s="81">
        <f t="shared" si="5"/>
        <v>-0.29352092202421076</v>
      </c>
      <c r="I13" s="81">
        <f t="shared" si="6"/>
        <v>7.936502143433364</v>
      </c>
      <c r="J13" s="81">
        <f t="shared" si="7"/>
        <v>-2.936502143433364</v>
      </c>
      <c r="K13" s="87">
        <v>7</v>
      </c>
      <c r="L13" s="297"/>
      <c r="M13" s="298">
        <v>1</v>
      </c>
      <c r="N13" s="229">
        <f t="shared" si="8"/>
        <v>4</v>
      </c>
      <c r="O13" s="229">
        <f t="shared" si="10"/>
      </c>
      <c r="P13" s="8" t="str">
        <f t="shared" si="11"/>
        <v>ü</v>
      </c>
      <c r="Q13" s="102" t="str">
        <f t="shared" si="12"/>
        <v>ü</v>
      </c>
      <c r="R13" s="234" t="s">
        <v>123</v>
      </c>
      <c r="S13" s="227"/>
      <c r="T13" s="137">
        <f>SUM(O7:O66)</f>
        <v>0</v>
      </c>
      <c r="V13" s="235" t="str">
        <f>"Grubbs-Test, P = "&amp;'Stat. Vergleichstabellen'!L37&amp;"%"</f>
        <v>Grubbs-Test, P = 99%</v>
      </c>
      <c r="W13" s="285"/>
      <c r="Y13" s="236"/>
      <c r="Z13" s="237"/>
      <c r="AA13" s="237"/>
    </row>
    <row r="14" spans="1:25" ht="12" customHeight="1">
      <c r="A14" s="95">
        <f t="shared" si="0"/>
      </c>
      <c r="B14" s="81">
        <v>8</v>
      </c>
      <c r="C14" s="81">
        <f t="shared" si="1"/>
        <v>8</v>
      </c>
      <c r="D14" s="81">
        <f t="shared" si="9"/>
        <v>2</v>
      </c>
      <c r="E14" s="81">
        <f t="shared" si="2"/>
        <v>3</v>
      </c>
      <c r="F14" s="81">
        <f t="shared" si="3"/>
        <v>2.5</v>
      </c>
      <c r="G14" s="81">
        <f t="shared" si="4"/>
        <v>5.293520922024211</v>
      </c>
      <c r="H14" s="81">
        <f t="shared" si="5"/>
        <v>-0.29352092202421076</v>
      </c>
      <c r="I14" s="81">
        <f t="shared" si="6"/>
        <v>7.936502143433364</v>
      </c>
      <c r="J14" s="81">
        <f t="shared" si="7"/>
        <v>-2.936502143433364</v>
      </c>
      <c r="K14" s="87">
        <v>8</v>
      </c>
      <c r="L14" s="297"/>
      <c r="M14" s="298">
        <v>3</v>
      </c>
      <c r="N14" s="229">
        <f t="shared" si="8"/>
        <v>1</v>
      </c>
      <c r="O14" s="229">
        <f t="shared" si="10"/>
      </c>
      <c r="P14" s="8" t="str">
        <f t="shared" si="11"/>
        <v>ü</v>
      </c>
      <c r="Q14" s="102" t="str">
        <f t="shared" si="12"/>
        <v>ü</v>
      </c>
      <c r="R14" s="238" t="s">
        <v>57</v>
      </c>
      <c r="S14" s="227" t="s">
        <v>20</v>
      </c>
      <c r="T14" s="239" t="str">
        <f>IF(ISERROR(AVERAGE(M7:M66)),"",FIXED(AVERAGE(M7:M66),S7)&amp;" "&amp;S4)</f>
        <v>2,50 </v>
      </c>
      <c r="U14" s="239"/>
      <c r="W14" s="285"/>
      <c r="Y14" s="236"/>
    </row>
    <row r="15" spans="1:25" ht="12" customHeight="1">
      <c r="A15" s="95">
        <f t="shared" si="0"/>
      </c>
      <c r="B15" s="81">
        <v>9</v>
      </c>
      <c r="C15" s="81">
        <f t="shared" si="1"/>
        <v>9</v>
      </c>
      <c r="D15" s="81">
        <f t="shared" si="9"/>
        <v>2</v>
      </c>
      <c r="E15" s="81">
        <f t="shared" si="2"/>
        <v>2</v>
      </c>
      <c r="F15" s="81">
        <f t="shared" si="3"/>
        <v>2.5</v>
      </c>
      <c r="G15" s="81">
        <f t="shared" si="4"/>
        <v>5.293520922024211</v>
      </c>
      <c r="H15" s="81">
        <f t="shared" si="5"/>
        <v>-0.29352092202421076</v>
      </c>
      <c r="I15" s="81">
        <f t="shared" si="6"/>
        <v>7.936502143433364</v>
      </c>
      <c r="J15" s="81">
        <f t="shared" si="7"/>
        <v>-2.936502143433364</v>
      </c>
      <c r="K15" s="87">
        <v>9</v>
      </c>
      <c r="L15" s="297"/>
      <c r="M15" s="298">
        <v>2</v>
      </c>
      <c r="N15" s="229">
        <f t="shared" si="8"/>
        <v>1</v>
      </c>
      <c r="O15" s="229">
        <f t="shared" si="10"/>
      </c>
      <c r="P15" s="8" t="str">
        <f t="shared" si="11"/>
        <v>ü</v>
      </c>
      <c r="Q15" s="102" t="str">
        <f t="shared" si="12"/>
        <v>ü</v>
      </c>
      <c r="R15" s="240" t="s">
        <v>58</v>
      </c>
      <c r="S15" s="227"/>
      <c r="T15" s="241" t="str">
        <f>IF(ISERROR(MEDIAN(M7:M66)),"",FIXED(MEDIAN(M7:M66),S7)&amp;" "&amp;S4)</f>
        <v>2,00 </v>
      </c>
      <c r="U15" s="241"/>
      <c r="V15" s="242"/>
      <c r="W15" s="285"/>
      <c r="Y15" s="236"/>
    </row>
    <row r="16" spans="1:23" ht="12" customHeight="1">
      <c r="A16" s="95" t="str">
        <f t="shared" si="0"/>
        <v>(MIN)</v>
      </c>
      <c r="B16" s="81">
        <v>10</v>
      </c>
      <c r="C16" s="81">
        <f t="shared" si="1"/>
        <v>10</v>
      </c>
      <c r="D16" s="81">
        <f t="shared" si="9"/>
        <v>2</v>
      </c>
      <c r="E16" s="81">
        <f t="shared" si="2"/>
        <v>1</v>
      </c>
      <c r="F16" s="81">
        <f t="shared" si="3"/>
        <v>2.5</v>
      </c>
      <c r="G16" s="81">
        <f t="shared" si="4"/>
        <v>5.293520922024211</v>
      </c>
      <c r="H16" s="81">
        <f t="shared" si="5"/>
        <v>-0.29352092202421076</v>
      </c>
      <c r="I16" s="81">
        <f t="shared" si="6"/>
        <v>7.936502143433364</v>
      </c>
      <c r="J16" s="81">
        <f t="shared" si="7"/>
        <v>-2.936502143433364</v>
      </c>
      <c r="K16" s="87">
        <v>10</v>
      </c>
      <c r="L16" s="297"/>
      <c r="M16" s="298">
        <v>1</v>
      </c>
      <c r="N16" s="229">
        <f t="shared" si="8"/>
      </c>
      <c r="O16" s="229">
        <f t="shared" si="10"/>
      </c>
      <c r="P16" s="8" t="str">
        <f t="shared" si="11"/>
        <v>ü</v>
      </c>
      <c r="Q16" s="102" t="str">
        <f t="shared" si="12"/>
        <v>ü</v>
      </c>
      <c r="S16" s="227"/>
      <c r="T16" s="137"/>
      <c r="U16" s="137"/>
      <c r="V16" s="239"/>
      <c r="W16" s="285"/>
    </row>
    <row r="17" spans="1:24" ht="12" customHeight="1">
      <c r="A17" s="95">
        <f t="shared" si="0"/>
      </c>
      <c r="B17" s="81">
        <v>11</v>
      </c>
      <c r="C17" s="81" t="e">
        <f t="shared" si="1"/>
        <v>#N/A</v>
      </c>
      <c r="D17" s="81">
        <f t="shared" si="9"/>
        <v>2</v>
      </c>
      <c r="E17" s="81" t="e">
        <f t="shared" si="2"/>
        <v>#N/A</v>
      </c>
      <c r="F17" s="81" t="e">
        <f t="shared" si="3"/>
        <v>#N/A</v>
      </c>
      <c r="G17" s="81" t="e">
        <f t="shared" si="4"/>
        <v>#N/A</v>
      </c>
      <c r="H17" s="81" t="e">
        <f t="shared" si="5"/>
        <v>#N/A</v>
      </c>
      <c r="I17" s="81" t="e">
        <f t="shared" si="6"/>
        <v>#N/A</v>
      </c>
      <c r="J17" s="81" t="e">
        <f t="shared" si="7"/>
        <v>#N/A</v>
      </c>
      <c r="K17" s="87">
        <v>11</v>
      </c>
      <c r="L17" s="297"/>
      <c r="M17" s="298"/>
      <c r="N17" s="229">
        <f t="shared" si="8"/>
      </c>
      <c r="O17" s="229">
        <f t="shared" si="10"/>
      </c>
      <c r="P17" s="8">
        <f t="shared" si="11"/>
      </c>
      <c r="Q17" s="102">
        <f t="shared" si="12"/>
      </c>
      <c r="R17" s="238" t="s">
        <v>39</v>
      </c>
      <c r="S17" s="227" t="s">
        <v>5</v>
      </c>
      <c r="T17" s="239" t="str">
        <f>IF(ISERROR(STDEV(M7:M66)),"n &lt; 2 !",FIXED(STDEV(M7:M66),S8)&amp;" "&amp;S4)</f>
        <v>2,718 </v>
      </c>
      <c r="U17" s="239"/>
      <c r="V17" s="235" t="s">
        <v>116</v>
      </c>
      <c r="W17" s="285"/>
      <c r="X17" s="227"/>
    </row>
    <row r="18" spans="1:24" ht="12" customHeight="1">
      <c r="A18" s="95">
        <f t="shared" si="0"/>
      </c>
      <c r="B18" s="81">
        <v>12</v>
      </c>
      <c r="C18" s="81" t="e">
        <f t="shared" si="1"/>
        <v>#N/A</v>
      </c>
      <c r="D18" s="81">
        <f t="shared" si="9"/>
        <v>2</v>
      </c>
      <c r="E18" s="81" t="e">
        <f t="shared" si="2"/>
        <v>#N/A</v>
      </c>
      <c r="F18" s="81" t="e">
        <f t="shared" si="3"/>
        <v>#N/A</v>
      </c>
      <c r="G18" s="81" t="e">
        <f t="shared" si="4"/>
        <v>#N/A</v>
      </c>
      <c r="H18" s="81" t="e">
        <f t="shared" si="5"/>
        <v>#N/A</v>
      </c>
      <c r="I18" s="81" t="e">
        <f t="shared" si="6"/>
        <v>#N/A</v>
      </c>
      <c r="J18" s="81" t="e">
        <f t="shared" si="7"/>
        <v>#N/A</v>
      </c>
      <c r="K18" s="87">
        <v>12</v>
      </c>
      <c r="L18" s="297"/>
      <c r="M18" s="298"/>
      <c r="N18" s="229">
        <f t="shared" si="8"/>
      </c>
      <c r="O18" s="229">
        <f t="shared" si="10"/>
      </c>
      <c r="P18" s="8">
        <f t="shared" si="11"/>
      </c>
      <c r="Q18" s="102">
        <f t="shared" si="12"/>
      </c>
      <c r="R18" s="243" t="s">
        <v>118</v>
      </c>
      <c r="S18" s="227" t="s">
        <v>112</v>
      </c>
      <c r="T18" s="244" t="str">
        <f>IF(ISERROR(STDEV(M7:M66)),"n &lt; 2 !",FIXED(3*STDEV(M7:M66),S8)&amp;" "&amp;S4)</f>
        <v>8,155 </v>
      </c>
      <c r="V18" s="245" t="s">
        <v>107</v>
      </c>
      <c r="W18" s="285"/>
      <c r="X18" s="227"/>
    </row>
    <row r="19" spans="1:23" ht="12" customHeight="1">
      <c r="A19" s="95">
        <f t="shared" si="0"/>
      </c>
      <c r="B19" s="81">
        <v>13</v>
      </c>
      <c r="C19" s="81" t="e">
        <f t="shared" si="1"/>
        <v>#N/A</v>
      </c>
      <c r="D19" s="81">
        <f t="shared" si="9"/>
        <v>2</v>
      </c>
      <c r="E19" s="81" t="e">
        <f t="shared" si="2"/>
        <v>#N/A</v>
      </c>
      <c r="F19" s="81" t="e">
        <f t="shared" si="3"/>
        <v>#N/A</v>
      </c>
      <c r="G19" s="81" t="e">
        <f t="shared" si="4"/>
        <v>#N/A</v>
      </c>
      <c r="H19" s="81" t="e">
        <f t="shared" si="5"/>
        <v>#N/A</v>
      </c>
      <c r="I19" s="81" t="e">
        <f t="shared" si="6"/>
        <v>#N/A</v>
      </c>
      <c r="J19" s="81" t="e">
        <f t="shared" si="7"/>
        <v>#N/A</v>
      </c>
      <c r="K19" s="87">
        <v>13</v>
      </c>
      <c r="L19" s="297"/>
      <c r="M19" s="298"/>
      <c r="N19" s="229">
        <f t="shared" si="8"/>
      </c>
      <c r="O19" s="229">
        <f t="shared" si="10"/>
      </c>
      <c r="P19" s="8">
        <f t="shared" si="11"/>
      </c>
      <c r="Q19" s="102">
        <f t="shared" si="12"/>
      </c>
      <c r="R19" s="246"/>
      <c r="S19" s="227"/>
      <c r="T19" s="239"/>
      <c r="U19" s="239"/>
      <c r="W19" s="285"/>
    </row>
    <row r="20" spans="1:23" ht="12" customHeight="1">
      <c r="A20" s="95">
        <f t="shared" si="0"/>
      </c>
      <c r="B20" s="81">
        <v>14</v>
      </c>
      <c r="C20" s="81" t="e">
        <f t="shared" si="1"/>
        <v>#N/A</v>
      </c>
      <c r="D20" s="81">
        <f t="shared" si="9"/>
        <v>2</v>
      </c>
      <c r="E20" s="81" t="e">
        <f t="shared" si="2"/>
        <v>#N/A</v>
      </c>
      <c r="F20" s="81" t="e">
        <f t="shared" si="3"/>
        <v>#N/A</v>
      </c>
      <c r="G20" s="81" t="e">
        <f t="shared" si="4"/>
        <v>#N/A</v>
      </c>
      <c r="H20" s="81" t="e">
        <f t="shared" si="5"/>
        <v>#N/A</v>
      </c>
      <c r="I20" s="81" t="e">
        <f t="shared" si="6"/>
        <v>#N/A</v>
      </c>
      <c r="J20" s="81" t="e">
        <f t="shared" si="7"/>
        <v>#N/A</v>
      </c>
      <c r="K20" s="87">
        <v>14</v>
      </c>
      <c r="L20" s="297"/>
      <c r="M20" s="298"/>
      <c r="N20" s="229">
        <f t="shared" si="8"/>
      </c>
      <c r="O20" s="229">
        <f t="shared" si="10"/>
      </c>
      <c r="P20" s="8">
        <f t="shared" si="11"/>
      </c>
      <c r="Q20" s="102">
        <f t="shared" si="12"/>
      </c>
      <c r="R20" s="238" t="s">
        <v>109</v>
      </c>
      <c r="S20" s="227" t="s">
        <v>110</v>
      </c>
      <c r="T20" s="247" t="str">
        <f>IF(ISERROR(STDEV(M7:M66)),"n &lt; 2 !",FIXED(2.77*STDEV(M7:M66),S8)&amp;" "&amp;S4)</f>
        <v>7,530 </v>
      </c>
      <c r="V20" s="248" t="s">
        <v>115</v>
      </c>
      <c r="W20" s="285"/>
    </row>
    <row r="21" spans="1:25" ht="12" customHeight="1">
      <c r="A21" s="95">
        <f t="shared" si="0"/>
      </c>
      <c r="B21" s="81">
        <v>15</v>
      </c>
      <c r="C21" s="81" t="e">
        <f t="shared" si="1"/>
        <v>#N/A</v>
      </c>
      <c r="D21" s="81">
        <f t="shared" si="9"/>
        <v>2</v>
      </c>
      <c r="E21" s="81" t="e">
        <f t="shared" si="2"/>
        <v>#N/A</v>
      </c>
      <c r="F21" s="81" t="e">
        <f t="shared" si="3"/>
        <v>#N/A</v>
      </c>
      <c r="G21" s="81" t="e">
        <f t="shared" si="4"/>
        <v>#N/A</v>
      </c>
      <c r="H21" s="81" t="e">
        <f t="shared" si="5"/>
        <v>#N/A</v>
      </c>
      <c r="I21" s="81" t="e">
        <f t="shared" si="6"/>
        <v>#N/A</v>
      </c>
      <c r="J21" s="81" t="e">
        <f t="shared" si="7"/>
        <v>#N/A</v>
      </c>
      <c r="K21" s="87">
        <v>15</v>
      </c>
      <c r="L21" s="297"/>
      <c r="M21" s="298"/>
      <c r="N21" s="229">
        <f t="shared" si="8"/>
      </c>
      <c r="O21" s="229">
        <f t="shared" si="10"/>
      </c>
      <c r="P21" s="8">
        <f t="shared" si="11"/>
      </c>
      <c r="Q21" s="102">
        <f t="shared" si="12"/>
      </c>
      <c r="R21" s="249" t="str">
        <f>IF(ISERROR(STDEV(M7:M66)),"","        =&gt;  "&amp;FIXED(2.77*STDEV(M7:M66)/AVERAGE(M7:M66)*100,1)&amp;"% vom Mittelwert")</f>
        <v>        =&gt;  301,2% vom Mittelwert</v>
      </c>
      <c r="S21" s="250"/>
      <c r="U21" s="137"/>
      <c r="W21" s="285"/>
      <c r="Y21" s="251"/>
    </row>
    <row r="22" spans="1:24" ht="12" customHeight="1">
      <c r="A22" s="95">
        <f t="shared" si="0"/>
      </c>
      <c r="B22" s="81">
        <v>16</v>
      </c>
      <c r="C22" s="81" t="e">
        <f t="shared" si="1"/>
        <v>#N/A</v>
      </c>
      <c r="D22" s="81">
        <f t="shared" si="9"/>
        <v>2</v>
      </c>
      <c r="E22" s="81" t="e">
        <f t="shared" si="2"/>
        <v>#N/A</v>
      </c>
      <c r="F22" s="81" t="e">
        <f t="shared" si="3"/>
        <v>#N/A</v>
      </c>
      <c r="G22" s="81" t="e">
        <f t="shared" si="4"/>
        <v>#N/A</v>
      </c>
      <c r="H22" s="81" t="e">
        <f t="shared" si="5"/>
        <v>#N/A</v>
      </c>
      <c r="I22" s="81" t="e">
        <f t="shared" si="6"/>
        <v>#N/A</v>
      </c>
      <c r="J22" s="81" t="e">
        <f t="shared" si="7"/>
        <v>#N/A</v>
      </c>
      <c r="K22" s="87">
        <v>16</v>
      </c>
      <c r="L22" s="297"/>
      <c r="M22" s="298"/>
      <c r="N22" s="229">
        <f t="shared" si="8"/>
      </c>
      <c r="O22" s="229">
        <f t="shared" si="10"/>
      </c>
      <c r="P22" s="8">
        <f t="shared" si="11"/>
      </c>
      <c r="Q22" s="102">
        <f t="shared" si="12"/>
      </c>
      <c r="R22" s="11" t="s">
        <v>101</v>
      </c>
      <c r="S22" s="250"/>
      <c r="T22" s="239" t="str">
        <f>IF(ISBLANK(M5),"nicht angegeben",M5&amp;" "&amp;S4)</f>
        <v>2 </v>
      </c>
      <c r="U22" s="137"/>
      <c r="W22" s="285"/>
      <c r="X22" s="125"/>
    </row>
    <row r="23" spans="1:23" ht="12" customHeight="1">
      <c r="A23" s="95">
        <f t="shared" si="0"/>
      </c>
      <c r="B23" s="81">
        <v>17</v>
      </c>
      <c r="C23" s="81" t="e">
        <f t="shared" si="1"/>
        <v>#N/A</v>
      </c>
      <c r="D23" s="81">
        <f t="shared" si="9"/>
        <v>2</v>
      </c>
      <c r="E23" s="81" t="e">
        <f t="shared" si="2"/>
        <v>#N/A</v>
      </c>
      <c r="F23" s="81" t="e">
        <f t="shared" si="3"/>
        <v>#N/A</v>
      </c>
      <c r="G23" s="81" t="e">
        <f t="shared" si="4"/>
        <v>#N/A</v>
      </c>
      <c r="H23" s="81" t="e">
        <f t="shared" si="5"/>
        <v>#N/A</v>
      </c>
      <c r="I23" s="81" t="e">
        <f t="shared" si="6"/>
        <v>#N/A</v>
      </c>
      <c r="J23" s="81" t="e">
        <f t="shared" si="7"/>
        <v>#N/A</v>
      </c>
      <c r="K23" s="87">
        <v>17</v>
      </c>
      <c r="L23" s="297"/>
      <c r="M23" s="298"/>
      <c r="N23" s="229">
        <f t="shared" si="8"/>
      </c>
      <c r="O23" s="229">
        <f t="shared" si="10"/>
      </c>
      <c r="P23" s="8">
        <f t="shared" si="11"/>
      </c>
      <c r="Q23" s="102">
        <f t="shared" si="12"/>
      </c>
      <c r="R23" s="234" t="s">
        <v>121</v>
      </c>
      <c r="S23" s="227" t="s">
        <v>38</v>
      </c>
      <c r="T23" s="239" t="str">
        <f>IF(ISBLANK(M5),"kein Sollwert angegeben!",IF(ISERROR(AVERAGE(M7:M66)-M5),"n &lt; 2 ?",FIXED(AVERAGE(M7:M66)-M5,S8)&amp;" "&amp;S4))</f>
        <v>0,500 </v>
      </c>
      <c r="U23" s="239"/>
      <c r="V23" s="252" t="str">
        <f>IF(ISBLANK(M5),"","("&amp;"-&gt; Unrichtigkeit"&amp;")")</f>
        <v>(-&gt; Unrichtigkeit)</v>
      </c>
      <c r="W23" s="285"/>
    </row>
    <row r="24" spans="1:25" ht="12" customHeight="1">
      <c r="A24" s="95">
        <f t="shared" si="0"/>
      </c>
      <c r="B24" s="81">
        <v>18</v>
      </c>
      <c r="C24" s="81" t="e">
        <f t="shared" si="1"/>
        <v>#N/A</v>
      </c>
      <c r="D24" s="81">
        <f t="shared" si="9"/>
        <v>2</v>
      </c>
      <c r="E24" s="81" t="e">
        <f t="shared" si="2"/>
        <v>#N/A</v>
      </c>
      <c r="F24" s="81" t="e">
        <f t="shared" si="3"/>
        <v>#N/A</v>
      </c>
      <c r="G24" s="81" t="e">
        <f t="shared" si="4"/>
        <v>#N/A</v>
      </c>
      <c r="H24" s="81" t="e">
        <f t="shared" si="5"/>
        <v>#N/A</v>
      </c>
      <c r="I24" s="81" t="e">
        <f t="shared" si="6"/>
        <v>#N/A</v>
      </c>
      <c r="J24" s="81" t="e">
        <f t="shared" si="7"/>
        <v>#N/A</v>
      </c>
      <c r="K24" s="87">
        <v>18</v>
      </c>
      <c r="L24" s="297"/>
      <c r="M24" s="298"/>
      <c r="N24" s="229">
        <f t="shared" si="8"/>
      </c>
      <c r="O24" s="229">
        <f t="shared" si="10"/>
      </c>
      <c r="P24" s="8">
        <f t="shared" si="11"/>
      </c>
      <c r="Q24" s="102">
        <f t="shared" si="12"/>
      </c>
      <c r="R24" s="253" t="str">
        <f>IF(ISBLANK(M5),"",IF(ISERROR(STDEV(M7:M66)),"","        =&gt;  "&amp;FIXED((AVERAGE(M7:M66)-M5)/M5*100,1)&amp;"%  relativ zum Sollwert"))</f>
        <v>        =&gt;  25,0%  relativ zum Sollwert</v>
      </c>
      <c r="S24" s="227"/>
      <c r="T24" s="239"/>
      <c r="U24" s="239"/>
      <c r="V24" s="253"/>
      <c r="W24" s="285"/>
      <c r="X24" s="254"/>
      <c r="Y24" s="223"/>
    </row>
    <row r="25" spans="1:25" ht="12" customHeight="1">
      <c r="A25" s="95">
        <f t="shared" si="0"/>
      </c>
      <c r="B25" s="81">
        <v>19</v>
      </c>
      <c r="C25" s="81" t="e">
        <f t="shared" si="1"/>
        <v>#N/A</v>
      </c>
      <c r="D25" s="81">
        <f t="shared" si="9"/>
        <v>2</v>
      </c>
      <c r="E25" s="81" t="e">
        <f t="shared" si="2"/>
        <v>#N/A</v>
      </c>
      <c r="F25" s="81" t="e">
        <f t="shared" si="3"/>
        <v>#N/A</v>
      </c>
      <c r="G25" s="81" t="e">
        <f t="shared" si="4"/>
        <v>#N/A</v>
      </c>
      <c r="H25" s="81" t="e">
        <f t="shared" si="5"/>
        <v>#N/A</v>
      </c>
      <c r="I25" s="81" t="e">
        <f t="shared" si="6"/>
        <v>#N/A</v>
      </c>
      <c r="J25" s="81" t="e">
        <f t="shared" si="7"/>
        <v>#N/A</v>
      </c>
      <c r="K25" s="87">
        <v>19</v>
      </c>
      <c r="L25" s="297"/>
      <c r="M25" s="298"/>
      <c r="N25" s="229">
        <f t="shared" si="8"/>
      </c>
      <c r="O25" s="229">
        <f t="shared" si="10"/>
      </c>
      <c r="P25" s="8">
        <f t="shared" si="11"/>
      </c>
      <c r="Q25" s="102">
        <f t="shared" si="12"/>
      </c>
      <c r="R25" s="246" t="s">
        <v>42</v>
      </c>
      <c r="S25" s="227"/>
      <c r="T25" s="137"/>
      <c r="U25" s="137"/>
      <c r="W25" s="285"/>
      <c r="X25" s="254"/>
      <c r="Y25" s="223"/>
    </row>
    <row r="26" spans="1:25" ht="12" customHeight="1">
      <c r="A26" s="95">
        <f t="shared" si="0"/>
      </c>
      <c r="B26" s="81">
        <v>20</v>
      </c>
      <c r="C26" s="81" t="e">
        <f t="shared" si="1"/>
        <v>#N/A</v>
      </c>
      <c r="D26" s="81">
        <f t="shared" si="9"/>
        <v>2</v>
      </c>
      <c r="E26" s="81" t="e">
        <f t="shared" si="2"/>
        <v>#N/A</v>
      </c>
      <c r="F26" s="81" t="e">
        <f t="shared" si="3"/>
        <v>#N/A</v>
      </c>
      <c r="G26" s="81" t="e">
        <f t="shared" si="4"/>
        <v>#N/A</v>
      </c>
      <c r="H26" s="81" t="e">
        <f t="shared" si="5"/>
        <v>#N/A</v>
      </c>
      <c r="I26" s="81" t="e">
        <f t="shared" si="6"/>
        <v>#N/A</v>
      </c>
      <c r="J26" s="81" t="e">
        <f t="shared" si="7"/>
        <v>#N/A</v>
      </c>
      <c r="K26" s="87">
        <v>20</v>
      </c>
      <c r="L26" s="297"/>
      <c r="M26" s="298"/>
      <c r="N26" s="229">
        <f t="shared" si="8"/>
      </c>
      <c r="O26" s="229">
        <f t="shared" si="10"/>
      </c>
      <c r="P26" s="8">
        <f t="shared" si="11"/>
      </c>
      <c r="Q26" s="102">
        <f t="shared" si="12"/>
      </c>
      <c r="R26" s="246" t="s">
        <v>99</v>
      </c>
      <c r="S26" s="255" t="s">
        <v>41</v>
      </c>
      <c r="T26" s="239" t="str">
        <f>IF(ISBLANK(S10),"P ?",IF(ISERROR(STDEV(M7:M66)*TINV((100-S10)/100,(T12-1))),"n &lt; 2 ?",FIXED(STDEV(M7:M66)*TINV((100-S10)/100,(T12-1))/SQRT(T12),S8)&amp;" "&amp;S4))</f>
        <v>2,794 </v>
      </c>
      <c r="U26" s="252" t="s">
        <v>56</v>
      </c>
      <c r="W26" s="289"/>
      <c r="Y26" s="223"/>
    </row>
    <row r="27" spans="1:25" ht="12" customHeight="1">
      <c r="A27" s="95">
        <f t="shared" si="0"/>
      </c>
      <c r="B27" s="81">
        <v>21</v>
      </c>
      <c r="C27" s="81" t="e">
        <f t="shared" si="1"/>
        <v>#N/A</v>
      </c>
      <c r="D27" s="81">
        <f t="shared" si="9"/>
        <v>2</v>
      </c>
      <c r="E27" s="81" t="e">
        <f t="shared" si="2"/>
        <v>#N/A</v>
      </c>
      <c r="F27" s="81" t="e">
        <f t="shared" si="3"/>
        <v>#N/A</v>
      </c>
      <c r="G27" s="81" t="e">
        <f t="shared" si="4"/>
        <v>#N/A</v>
      </c>
      <c r="H27" s="81" t="e">
        <f t="shared" si="5"/>
        <v>#N/A</v>
      </c>
      <c r="I27" s="81" t="e">
        <f t="shared" si="6"/>
        <v>#N/A</v>
      </c>
      <c r="J27" s="81" t="e">
        <f t="shared" si="7"/>
        <v>#N/A</v>
      </c>
      <c r="K27" s="87">
        <v>21</v>
      </c>
      <c r="L27" s="297"/>
      <c r="M27" s="298"/>
      <c r="N27" s="229">
        <f t="shared" si="8"/>
      </c>
      <c r="O27" s="229">
        <f t="shared" si="10"/>
      </c>
      <c r="P27" s="8">
        <f t="shared" si="11"/>
      </c>
      <c r="Q27" s="102">
        <f t="shared" si="12"/>
      </c>
      <c r="R27" s="253" t="str">
        <f>IF(ISERROR(STDEV(M7:M66)),"","        =&gt;  ± "&amp;FIXED((STDEV(M7:M66)*TINV((100-S10)/100,(T12-1))/SQRT(T12))/AVERAGE(M7:M66)*100,1)&amp;"%  relativ zum Mittelwert!")</f>
        <v>        =&gt;  ± 111,7%  relativ zum Mittelwert!</v>
      </c>
      <c r="S27" s="227"/>
      <c r="T27" s="239"/>
      <c r="U27" s="239"/>
      <c r="V27" s="253"/>
      <c r="W27" s="289"/>
      <c r="X27" s="223"/>
      <c r="Y27" s="223"/>
    </row>
    <row r="28" spans="1:24" ht="12" customHeight="1">
      <c r="A28" s="95">
        <f t="shared" si="0"/>
      </c>
      <c r="B28" s="81">
        <v>22</v>
      </c>
      <c r="C28" s="81" t="e">
        <f t="shared" si="1"/>
        <v>#N/A</v>
      </c>
      <c r="D28" s="81">
        <f t="shared" si="9"/>
        <v>2</v>
      </c>
      <c r="E28" s="81" t="e">
        <f t="shared" si="2"/>
        <v>#N/A</v>
      </c>
      <c r="F28" s="81" t="e">
        <f t="shared" si="3"/>
        <v>#N/A</v>
      </c>
      <c r="G28" s="81" t="e">
        <f t="shared" si="4"/>
        <v>#N/A</v>
      </c>
      <c r="H28" s="81" t="e">
        <f t="shared" si="5"/>
        <v>#N/A</v>
      </c>
      <c r="I28" s="81" t="e">
        <f t="shared" si="6"/>
        <v>#N/A</v>
      </c>
      <c r="J28" s="81" t="e">
        <f t="shared" si="7"/>
        <v>#N/A</v>
      </c>
      <c r="K28" s="87">
        <v>22</v>
      </c>
      <c r="L28" s="297"/>
      <c r="M28" s="298"/>
      <c r="N28" s="229">
        <f t="shared" si="8"/>
      </c>
      <c r="O28" s="229">
        <f t="shared" si="10"/>
      </c>
      <c r="P28" s="8">
        <f t="shared" si="11"/>
      </c>
      <c r="Q28" s="102">
        <f t="shared" si="12"/>
      </c>
      <c r="R28" s="256" t="s">
        <v>59</v>
      </c>
      <c r="S28" s="241" t="s">
        <v>85</v>
      </c>
      <c r="T28" s="239" t="str">
        <f>IF(ISBLANK(S10),"P ?",IF(ISERROR(STDEV(M7:M66)*TINV((100-S10)/100,(T12-1))),"n &lt; 2 ?",FIXED(AVERAGE(M7:M66)-(STDEV(M7:M66)*TINV((100-S10)/100,(T12-1))/SQRT(T12)),S7)&amp;" "&amp;S4))</f>
        <v>-0,29 </v>
      </c>
      <c r="U28" s="239"/>
      <c r="V28" s="253"/>
      <c r="W28" s="289"/>
      <c r="X28" s="223"/>
    </row>
    <row r="29" spans="1:24" ht="12" customHeight="1">
      <c r="A29" s="95">
        <f t="shared" si="0"/>
      </c>
      <c r="B29" s="81">
        <v>23</v>
      </c>
      <c r="C29" s="81" t="e">
        <f t="shared" si="1"/>
        <v>#N/A</v>
      </c>
      <c r="D29" s="81">
        <f t="shared" si="9"/>
        <v>2</v>
      </c>
      <c r="E29" s="81" t="e">
        <f t="shared" si="2"/>
        <v>#N/A</v>
      </c>
      <c r="F29" s="81" t="e">
        <f t="shared" si="3"/>
        <v>#N/A</v>
      </c>
      <c r="G29" s="81" t="e">
        <f t="shared" si="4"/>
        <v>#N/A</v>
      </c>
      <c r="H29" s="81" t="e">
        <f t="shared" si="5"/>
        <v>#N/A</v>
      </c>
      <c r="I29" s="81" t="e">
        <f t="shared" si="6"/>
        <v>#N/A</v>
      </c>
      <c r="J29" s="81" t="e">
        <f t="shared" si="7"/>
        <v>#N/A</v>
      </c>
      <c r="K29" s="87">
        <v>23</v>
      </c>
      <c r="L29" s="297"/>
      <c r="M29" s="298"/>
      <c r="N29" s="229">
        <f t="shared" si="8"/>
      </c>
      <c r="O29" s="229">
        <f t="shared" si="10"/>
      </c>
      <c r="P29" s="8">
        <f t="shared" si="11"/>
      </c>
      <c r="Q29" s="102">
        <f t="shared" si="12"/>
      </c>
      <c r="R29" s="256" t="s">
        <v>45</v>
      </c>
      <c r="S29" s="241" t="s">
        <v>86</v>
      </c>
      <c r="T29" s="239" t="str">
        <f>IF(ISBLANK(S10),"P ?",IF(ISERROR(STDEV(M7:M66)*TINV((100-S10)/100,(T12-1))),"n &lt; 2 ?",FIXED(AVERAGE(M7:M66)+(STDEV(M7:M66)*TINV((100-S10)/100,(T12-1))/SQRT(T12)),S7)&amp;" "&amp;S4))</f>
        <v>5,29 </v>
      </c>
      <c r="U29" s="239"/>
      <c r="V29" s="253"/>
      <c r="W29" s="289"/>
      <c r="X29" s="223"/>
    </row>
    <row r="30" spans="1:25" ht="12" customHeight="1">
      <c r="A30" s="95">
        <f t="shared" si="0"/>
      </c>
      <c r="B30" s="81">
        <v>24</v>
      </c>
      <c r="C30" s="81" t="e">
        <f t="shared" si="1"/>
        <v>#N/A</v>
      </c>
      <c r="D30" s="81">
        <f t="shared" si="9"/>
        <v>2</v>
      </c>
      <c r="E30" s="81" t="e">
        <f t="shared" si="2"/>
        <v>#N/A</v>
      </c>
      <c r="F30" s="81" t="e">
        <f t="shared" si="3"/>
        <v>#N/A</v>
      </c>
      <c r="G30" s="81" t="e">
        <f t="shared" si="4"/>
        <v>#N/A</v>
      </c>
      <c r="H30" s="81" t="e">
        <f t="shared" si="5"/>
        <v>#N/A</v>
      </c>
      <c r="I30" s="81" t="e">
        <f t="shared" si="6"/>
        <v>#N/A</v>
      </c>
      <c r="J30" s="81" t="e">
        <f t="shared" si="7"/>
        <v>#N/A</v>
      </c>
      <c r="K30" s="87">
        <v>24</v>
      </c>
      <c r="L30" s="297"/>
      <c r="M30" s="298"/>
      <c r="N30" s="229">
        <f t="shared" si="8"/>
      </c>
      <c r="O30" s="229">
        <f t="shared" si="10"/>
      </c>
      <c r="P30" s="8">
        <f t="shared" si="11"/>
      </c>
      <c r="Q30" s="102">
        <f t="shared" si="12"/>
      </c>
      <c r="S30" s="227"/>
      <c r="T30" s="137"/>
      <c r="U30" s="137"/>
      <c r="W30" s="289"/>
      <c r="X30" s="223"/>
      <c r="Y30" s="255"/>
    </row>
    <row r="31" spans="1:25" ht="12" customHeight="1">
      <c r="A31" s="95">
        <f t="shared" si="0"/>
      </c>
      <c r="B31" s="81">
        <v>25</v>
      </c>
      <c r="C31" s="81" t="e">
        <f t="shared" si="1"/>
        <v>#N/A</v>
      </c>
      <c r="D31" s="81">
        <f t="shared" si="9"/>
        <v>2</v>
      </c>
      <c r="E31" s="81" t="e">
        <f t="shared" si="2"/>
        <v>#N/A</v>
      </c>
      <c r="F31" s="81" t="e">
        <f t="shared" si="3"/>
        <v>#N/A</v>
      </c>
      <c r="G31" s="81" t="e">
        <f t="shared" si="4"/>
        <v>#N/A</v>
      </c>
      <c r="H31" s="81" t="e">
        <f t="shared" si="5"/>
        <v>#N/A</v>
      </c>
      <c r="I31" s="81" t="e">
        <f t="shared" si="6"/>
        <v>#N/A</v>
      </c>
      <c r="J31" s="81" t="e">
        <f t="shared" si="7"/>
        <v>#N/A</v>
      </c>
      <c r="K31" s="87">
        <v>25</v>
      </c>
      <c r="L31" s="297"/>
      <c r="M31" s="298"/>
      <c r="N31" s="229">
        <f t="shared" si="8"/>
      </c>
      <c r="O31" s="229">
        <f t="shared" si="10"/>
      </c>
      <c r="P31" s="8">
        <f t="shared" si="11"/>
      </c>
      <c r="Q31" s="102">
        <f t="shared" si="12"/>
      </c>
      <c r="R31" s="257" t="s">
        <v>14</v>
      </c>
      <c r="S31" s="227" t="s">
        <v>119</v>
      </c>
      <c r="T31" s="258" t="str">
        <f>IF(ISERROR(STDEV(M7:M66)/AVERAGE(M7:M66)),"",FIXED(STDEV(M7:M66)/AVERAGE(M7:M66)*100,1)&amp;"%")</f>
        <v>108,7%</v>
      </c>
      <c r="U31" s="259"/>
      <c r="W31" s="289"/>
      <c r="X31" s="223"/>
      <c r="Y31" s="255"/>
    </row>
    <row r="32" spans="1:24" ht="12" customHeight="1">
      <c r="A32" s="95">
        <f t="shared" si="0"/>
      </c>
      <c r="B32" s="81">
        <v>26</v>
      </c>
      <c r="C32" s="81" t="e">
        <f t="shared" si="1"/>
        <v>#N/A</v>
      </c>
      <c r="D32" s="81">
        <f t="shared" si="9"/>
        <v>2</v>
      </c>
      <c r="E32" s="81" t="e">
        <f t="shared" si="2"/>
        <v>#N/A</v>
      </c>
      <c r="F32" s="81" t="e">
        <f t="shared" si="3"/>
        <v>#N/A</v>
      </c>
      <c r="G32" s="81" t="e">
        <f t="shared" si="4"/>
        <v>#N/A</v>
      </c>
      <c r="H32" s="81" t="e">
        <f t="shared" si="5"/>
        <v>#N/A</v>
      </c>
      <c r="I32" s="81" t="e">
        <f t="shared" si="6"/>
        <v>#N/A</v>
      </c>
      <c r="J32" s="81" t="e">
        <f t="shared" si="7"/>
        <v>#N/A</v>
      </c>
      <c r="K32" s="87">
        <v>26</v>
      </c>
      <c r="L32" s="297"/>
      <c r="M32" s="298"/>
      <c r="N32" s="229">
        <f t="shared" si="8"/>
      </c>
      <c r="O32" s="229">
        <f t="shared" si="10"/>
      </c>
      <c r="P32" s="8">
        <f t="shared" si="11"/>
      </c>
      <c r="Q32" s="102">
        <f t="shared" si="12"/>
      </c>
      <c r="R32" s="260"/>
      <c r="S32" s="260"/>
      <c r="T32" s="261"/>
      <c r="U32" s="252" t="s">
        <v>117</v>
      </c>
      <c r="W32" s="289"/>
      <c r="X32" s="223"/>
    </row>
    <row r="33" spans="1:23" ht="12" customHeight="1">
      <c r="A33" s="95">
        <f t="shared" si="0"/>
      </c>
      <c r="B33" s="81">
        <v>27</v>
      </c>
      <c r="C33" s="81" t="e">
        <f t="shared" si="1"/>
        <v>#N/A</v>
      </c>
      <c r="D33" s="81">
        <f t="shared" si="9"/>
        <v>2</v>
      </c>
      <c r="E33" s="81" t="e">
        <f t="shared" si="2"/>
        <v>#N/A</v>
      </c>
      <c r="F33" s="81" t="e">
        <f t="shared" si="3"/>
        <v>#N/A</v>
      </c>
      <c r="G33" s="81" t="e">
        <f t="shared" si="4"/>
        <v>#N/A</v>
      </c>
      <c r="H33" s="81" t="e">
        <f t="shared" si="5"/>
        <v>#N/A</v>
      </c>
      <c r="I33" s="81" t="e">
        <f t="shared" si="6"/>
        <v>#N/A</v>
      </c>
      <c r="J33" s="81" t="e">
        <f t="shared" si="7"/>
        <v>#N/A</v>
      </c>
      <c r="K33" s="87">
        <v>27</v>
      </c>
      <c r="L33" s="297"/>
      <c r="M33" s="298"/>
      <c r="N33" s="229">
        <f t="shared" si="8"/>
      </c>
      <c r="O33" s="229">
        <f t="shared" si="10"/>
      </c>
      <c r="P33" s="8">
        <f t="shared" si="11"/>
      </c>
      <c r="Q33" s="102">
        <f t="shared" si="12"/>
      </c>
      <c r="R33" s="262" t="s">
        <v>43</v>
      </c>
      <c r="S33" s="227"/>
      <c r="T33" s="124" t="str">
        <f>IF(ISERROR(100-STDEV(M7:M66)/AVERAGE(M7:M66)*100),"n &lt; 2 ?",IF((100-STDEV(M7:M66)/AVERAGE(M7:M66)*100)&lt;0,"Meßwertschwankung zu hoch!",FIXED(100-STDEV(M7:M66)/AVERAGE(M7:M66)*100,1)&amp;"%"))</f>
        <v>Meßwertschwankung zu hoch!</v>
      </c>
      <c r="U33" s="263"/>
      <c r="V33" s="264"/>
      <c r="W33" s="290"/>
    </row>
    <row r="34" spans="1:23" ht="12" customHeight="1">
      <c r="A34" s="95">
        <f t="shared" si="0"/>
      </c>
      <c r="B34" s="81">
        <v>28</v>
      </c>
      <c r="C34" s="81" t="e">
        <f t="shared" si="1"/>
        <v>#N/A</v>
      </c>
      <c r="D34" s="81">
        <f t="shared" si="9"/>
        <v>2</v>
      </c>
      <c r="E34" s="81" t="e">
        <f t="shared" si="2"/>
        <v>#N/A</v>
      </c>
      <c r="F34" s="81" t="e">
        <f t="shared" si="3"/>
        <v>#N/A</v>
      </c>
      <c r="G34" s="81" t="e">
        <f t="shared" si="4"/>
        <v>#N/A</v>
      </c>
      <c r="H34" s="81" t="e">
        <f t="shared" si="5"/>
        <v>#N/A</v>
      </c>
      <c r="I34" s="81" t="e">
        <f t="shared" si="6"/>
        <v>#N/A</v>
      </c>
      <c r="J34" s="81" t="e">
        <f t="shared" si="7"/>
        <v>#N/A</v>
      </c>
      <c r="K34" s="87">
        <v>28</v>
      </c>
      <c r="L34" s="297"/>
      <c r="M34" s="298"/>
      <c r="N34" s="229">
        <f t="shared" si="8"/>
      </c>
      <c r="O34" s="229">
        <f t="shared" si="10"/>
      </c>
      <c r="P34" s="8">
        <f t="shared" si="11"/>
      </c>
      <c r="Q34" s="102">
        <f t="shared" si="12"/>
      </c>
      <c r="R34" s="265" t="s">
        <v>84</v>
      </c>
      <c r="W34" s="285"/>
    </row>
    <row r="35" spans="1:23" ht="12" customHeight="1">
      <c r="A35" s="95">
        <f t="shared" si="0"/>
      </c>
      <c r="B35" s="81">
        <v>29</v>
      </c>
      <c r="C35" s="81" t="e">
        <f t="shared" si="1"/>
        <v>#N/A</v>
      </c>
      <c r="D35" s="81">
        <f t="shared" si="9"/>
        <v>2</v>
      </c>
      <c r="E35" s="81" t="e">
        <f t="shared" si="2"/>
        <v>#N/A</v>
      </c>
      <c r="F35" s="81" t="e">
        <f t="shared" si="3"/>
        <v>#N/A</v>
      </c>
      <c r="G35" s="81" t="e">
        <f t="shared" si="4"/>
        <v>#N/A</v>
      </c>
      <c r="H35" s="81" t="e">
        <f t="shared" si="5"/>
        <v>#N/A</v>
      </c>
      <c r="I35" s="81" t="e">
        <f t="shared" si="6"/>
        <v>#N/A</v>
      </c>
      <c r="J35" s="81" t="e">
        <f t="shared" si="7"/>
        <v>#N/A</v>
      </c>
      <c r="K35" s="87">
        <v>29</v>
      </c>
      <c r="L35" s="297"/>
      <c r="M35" s="298"/>
      <c r="N35" s="229">
        <f t="shared" si="8"/>
      </c>
      <c r="O35" s="229">
        <f t="shared" si="10"/>
      </c>
      <c r="P35" s="8">
        <f t="shared" si="11"/>
      </c>
      <c r="Q35" s="102">
        <f t="shared" si="12"/>
      </c>
      <c r="W35" s="285"/>
    </row>
    <row r="36" spans="1:23" ht="12" customHeight="1">
      <c r="A36" s="95">
        <f t="shared" si="0"/>
      </c>
      <c r="B36" s="81">
        <v>30</v>
      </c>
      <c r="C36" s="81" t="e">
        <f t="shared" si="1"/>
        <v>#N/A</v>
      </c>
      <c r="D36" s="81">
        <f t="shared" si="9"/>
        <v>2</v>
      </c>
      <c r="E36" s="81" t="e">
        <f t="shared" si="2"/>
        <v>#N/A</v>
      </c>
      <c r="F36" s="81" t="e">
        <f t="shared" si="3"/>
        <v>#N/A</v>
      </c>
      <c r="G36" s="81" t="e">
        <f t="shared" si="4"/>
        <v>#N/A</v>
      </c>
      <c r="H36" s="81" t="e">
        <f t="shared" si="5"/>
        <v>#N/A</v>
      </c>
      <c r="I36" s="81" t="e">
        <f t="shared" si="6"/>
        <v>#N/A</v>
      </c>
      <c r="J36" s="81" t="e">
        <f t="shared" si="7"/>
        <v>#N/A</v>
      </c>
      <c r="K36" s="87">
        <v>30</v>
      </c>
      <c r="L36" s="297"/>
      <c r="M36" s="298"/>
      <c r="N36" s="229">
        <f t="shared" si="8"/>
      </c>
      <c r="O36" s="229">
        <f t="shared" si="10"/>
      </c>
      <c r="P36" s="8">
        <f t="shared" si="11"/>
      </c>
      <c r="Q36" s="102">
        <f t="shared" si="12"/>
      </c>
      <c r="R36" s="173" t="s">
        <v>19</v>
      </c>
      <c r="S36" s="177" t="s">
        <v>95</v>
      </c>
      <c r="T36" s="174"/>
      <c r="U36" s="175"/>
      <c r="V36" s="174"/>
      <c r="W36" s="291"/>
    </row>
    <row r="37" spans="1:24" ht="12" customHeight="1">
      <c r="A37" s="95">
        <f t="shared" si="0"/>
      </c>
      <c r="B37" s="81">
        <v>31</v>
      </c>
      <c r="C37" s="81" t="e">
        <f t="shared" si="1"/>
        <v>#N/A</v>
      </c>
      <c r="D37" s="81">
        <f t="shared" si="9"/>
        <v>2</v>
      </c>
      <c r="E37" s="81" t="e">
        <f t="shared" si="2"/>
        <v>#N/A</v>
      </c>
      <c r="F37" s="81" t="e">
        <f t="shared" si="3"/>
        <v>#N/A</v>
      </c>
      <c r="G37" s="81" t="e">
        <f t="shared" si="4"/>
        <v>#N/A</v>
      </c>
      <c r="H37" s="81" t="e">
        <f t="shared" si="5"/>
        <v>#N/A</v>
      </c>
      <c r="I37" s="81" t="e">
        <f t="shared" si="6"/>
        <v>#N/A</v>
      </c>
      <c r="J37" s="81" t="e">
        <f t="shared" si="7"/>
        <v>#N/A</v>
      </c>
      <c r="K37" s="87">
        <v>31</v>
      </c>
      <c r="L37" s="297"/>
      <c r="M37" s="298"/>
      <c r="N37" s="229">
        <f t="shared" si="8"/>
      </c>
      <c r="O37" s="229">
        <f t="shared" si="10"/>
      </c>
      <c r="P37" s="8">
        <f t="shared" si="11"/>
      </c>
      <c r="Q37" s="102">
        <f t="shared" si="12"/>
      </c>
      <c r="R37" s="311" t="str">
        <f>IF(ISBLANK(S10),"P ?",IF(ISERROR(STDEV(M7:M66)/AVERAGE(M7:M66)),"Angaben unvollständig!","("&amp;FIXED(AVERAGE(M7:M66),S7)&amp;"  ± "&amp;FIXED(STDEV(M7:M66)*TINV((100-S10)/100,(T12-1))/SQRT(T12),S8)&amp;IF(ISBLANK(S4)," [EINHEIT] ",") "&amp;S4&amp;"  ")&amp;"("&amp;"± "&amp;FIXED(STDEV(M7:M66),S8)&amp;"; "&amp;S10&amp;"%; "&amp;T12&amp;")"))</f>
        <v>(2,50  ± 2,794 [EINHEIT] (± 2,718; 99%; 10)</v>
      </c>
      <c r="S37" s="312"/>
      <c r="T37" s="312"/>
      <c r="U37" s="312"/>
      <c r="V37" s="312"/>
      <c r="W37" s="291"/>
      <c r="X37" s="266"/>
    </row>
    <row r="38" spans="1:23" ht="12" customHeight="1">
      <c r="A38" s="95">
        <f t="shared" si="0"/>
      </c>
      <c r="B38" s="81">
        <v>32</v>
      </c>
      <c r="C38" s="81" t="e">
        <f t="shared" si="1"/>
        <v>#N/A</v>
      </c>
      <c r="D38" s="81">
        <f t="shared" si="9"/>
        <v>2</v>
      </c>
      <c r="E38" s="81" t="e">
        <f t="shared" si="2"/>
        <v>#N/A</v>
      </c>
      <c r="F38" s="81" t="e">
        <f t="shared" si="3"/>
        <v>#N/A</v>
      </c>
      <c r="G38" s="81" t="e">
        <f t="shared" si="4"/>
        <v>#N/A</v>
      </c>
      <c r="H38" s="81" t="e">
        <f t="shared" si="5"/>
        <v>#N/A</v>
      </c>
      <c r="I38" s="81" t="e">
        <f t="shared" si="6"/>
        <v>#N/A</v>
      </c>
      <c r="J38" s="81" t="e">
        <f t="shared" si="7"/>
        <v>#N/A</v>
      </c>
      <c r="K38" s="87">
        <v>32</v>
      </c>
      <c r="L38" s="297"/>
      <c r="M38" s="298"/>
      <c r="N38" s="229">
        <f t="shared" si="8"/>
      </c>
      <c r="O38" s="229">
        <f t="shared" si="10"/>
      </c>
      <c r="P38" s="8">
        <f t="shared" si="11"/>
      </c>
      <c r="Q38" s="102">
        <f t="shared" si="12"/>
      </c>
      <c r="R38" s="313"/>
      <c r="S38" s="314"/>
      <c r="T38" s="314"/>
      <c r="U38" s="314"/>
      <c r="V38" s="314"/>
      <c r="W38" s="285"/>
    </row>
    <row r="39" spans="1:23" ht="12" customHeight="1">
      <c r="A39" s="95">
        <f aca="true" t="shared" si="13" ref="A39:A67">IF(ISBLANK(M39),"",IF(M39=MAX(M$7:M$66),"(MAX)",IF(M39=MIN(M$7:M$66),"(MIN)","")))</f>
      </c>
      <c r="B39" s="81">
        <v>33</v>
      </c>
      <c r="C39" s="81" t="e">
        <f aca="true" t="shared" si="14" ref="C39:C66">IF(ISBLANK(M39),#N/A,B39)</f>
        <v>#N/A</v>
      </c>
      <c r="D39" s="81">
        <f t="shared" si="9"/>
        <v>2</v>
      </c>
      <c r="E39" s="81" t="e">
        <f t="shared" si="2"/>
        <v>#N/A</v>
      </c>
      <c r="F39" s="81" t="e">
        <f aca="true" t="shared" si="15" ref="F39:F66">IF(ISBLANK(M39),#N/A,AVERAGE(M$7:M$66))</f>
        <v>#N/A</v>
      </c>
      <c r="G39" s="81" t="e">
        <f aca="true" t="shared" si="16" ref="G39:G66">IF(ISBLANK(M39),#N/A,AVERAGE(M$7:M$66)+G$67)</f>
        <v>#N/A</v>
      </c>
      <c r="H39" s="81" t="e">
        <f aca="true" t="shared" si="17" ref="H39:H66">IF(ISBLANK(M39),#N/A,AVERAGE(M$7:M$66)-G$67)</f>
        <v>#N/A</v>
      </c>
      <c r="I39" s="81" t="e">
        <f aca="true" t="shared" si="18" ref="I39:I66">IF(ISBLANK(M39),#N/A,AVERAGE(M$7:M$66)+2*I$67)</f>
        <v>#N/A</v>
      </c>
      <c r="J39" s="81" t="e">
        <f aca="true" t="shared" si="19" ref="J39:J67">IF(ISBLANK(M39),#N/A,AVERAGE(M$7:M$66)-2*I$67)</f>
        <v>#N/A</v>
      </c>
      <c r="K39" s="87">
        <v>33</v>
      </c>
      <c r="L39" s="297"/>
      <c r="M39" s="298"/>
      <c r="N39" s="229">
        <f t="shared" si="8"/>
      </c>
      <c r="O39" s="229">
        <f t="shared" si="10"/>
      </c>
      <c r="P39" s="8">
        <f t="shared" si="11"/>
      </c>
      <c r="Q39" s="102">
        <f t="shared" si="12"/>
      </c>
      <c r="R39" s="267">
        <f>IF(T40="siehe oben","ACHTUNG: Die Berechnung versagt bei zwei aufeinander folgenden , eliminierten Werten!","")</f>
      </c>
      <c r="U39" s="223"/>
      <c r="W39" s="285"/>
    </row>
    <row r="40" spans="1:23" ht="12" customHeight="1">
      <c r="A40" s="95">
        <f t="shared" si="13"/>
      </c>
      <c r="B40" s="81">
        <v>34</v>
      </c>
      <c r="C40" s="81" t="e">
        <f t="shared" si="14"/>
        <v>#N/A</v>
      </c>
      <c r="D40" s="81">
        <f t="shared" si="9"/>
        <v>2</v>
      </c>
      <c r="E40" s="81" t="e">
        <f t="shared" si="2"/>
        <v>#N/A</v>
      </c>
      <c r="F40" s="81" t="e">
        <f t="shared" si="15"/>
        <v>#N/A</v>
      </c>
      <c r="G40" s="81" t="e">
        <f t="shared" si="16"/>
        <v>#N/A</v>
      </c>
      <c r="H40" s="81" t="e">
        <f t="shared" si="17"/>
        <v>#N/A</v>
      </c>
      <c r="I40" s="81" t="e">
        <f t="shared" si="18"/>
        <v>#N/A</v>
      </c>
      <c r="J40" s="81" t="e">
        <f t="shared" si="19"/>
        <v>#N/A</v>
      </c>
      <c r="K40" s="87">
        <v>34</v>
      </c>
      <c r="L40" s="297"/>
      <c r="M40" s="298"/>
      <c r="N40" s="229">
        <f t="shared" si="8"/>
      </c>
      <c r="O40" s="229">
        <f t="shared" si="10"/>
      </c>
      <c r="P40" s="8">
        <f t="shared" si="11"/>
      </c>
      <c r="Q40" s="102">
        <f t="shared" si="12"/>
      </c>
      <c r="R40" s="268" t="s">
        <v>60</v>
      </c>
      <c r="S40" s="223" t="s">
        <v>18</v>
      </c>
      <c r="T40" s="239">
        <f>IF(ISERROR((SUM(N7:N66))),"siehe oben",IF(ISERROR(1/STDEV(M7:M66)),"Sx=0 !!",IF(T12&lt;4,"N&lt;4 !",ROUND((SUM(N7:N66)/(T12-1)/STDEV(M7:M66)^2),3))))</f>
        <v>2.075</v>
      </c>
      <c r="U40" s="309" t="str">
        <f>IF(OR(T12&lt;2,ISTEXT(T40)),"",IF(T12&lt;4,"N&lt;4!",IF(T40&gt;T41,"kein Trend erkennbar","es liegt ein Trend vor!")))</f>
        <v>kein Trend erkennbar</v>
      </c>
      <c r="V40" s="309"/>
      <c r="W40" s="285"/>
    </row>
    <row r="41" spans="1:24" ht="12" customHeight="1">
      <c r="A41" s="95">
        <f t="shared" si="13"/>
      </c>
      <c r="B41" s="81">
        <v>35</v>
      </c>
      <c r="C41" s="81" t="e">
        <f t="shared" si="14"/>
        <v>#N/A</v>
      </c>
      <c r="D41" s="81">
        <f t="shared" si="9"/>
        <v>2</v>
      </c>
      <c r="E41" s="81" t="e">
        <f t="shared" si="2"/>
        <v>#N/A</v>
      </c>
      <c r="F41" s="81" t="e">
        <f t="shared" si="15"/>
        <v>#N/A</v>
      </c>
      <c r="G41" s="81" t="e">
        <f t="shared" si="16"/>
        <v>#N/A</v>
      </c>
      <c r="H41" s="81" t="e">
        <f t="shared" si="17"/>
        <v>#N/A</v>
      </c>
      <c r="I41" s="81" t="e">
        <f t="shared" si="18"/>
        <v>#N/A</v>
      </c>
      <c r="J41" s="81" t="e">
        <f t="shared" si="19"/>
        <v>#N/A</v>
      </c>
      <c r="K41" s="87">
        <v>35</v>
      </c>
      <c r="L41" s="297"/>
      <c r="M41" s="298"/>
      <c r="N41" s="229">
        <f t="shared" si="8"/>
      </c>
      <c r="O41" s="229">
        <f t="shared" si="10"/>
      </c>
      <c r="P41" s="8">
        <f t="shared" si="11"/>
      </c>
      <c r="Q41" s="102">
        <f t="shared" si="12"/>
      </c>
      <c r="R41" s="269" t="s">
        <v>40</v>
      </c>
      <c r="S41" s="223" t="s">
        <v>37</v>
      </c>
      <c r="T41" s="270">
        <f>IF(T12&lt;4,"N&lt;4 !",VLOOKUP(T$12,'Stat. Vergleichstabellen'!R3:S66,2))</f>
        <v>0.7518</v>
      </c>
      <c r="U41" s="223"/>
      <c r="W41" s="285"/>
      <c r="X41" s="255"/>
    </row>
    <row r="42" spans="1:24" ht="12" customHeight="1">
      <c r="A42" s="95">
        <f t="shared" si="13"/>
      </c>
      <c r="B42" s="81">
        <v>36</v>
      </c>
      <c r="C42" s="81" t="e">
        <f t="shared" si="14"/>
        <v>#N/A</v>
      </c>
      <c r="D42" s="81">
        <f t="shared" si="9"/>
        <v>2</v>
      </c>
      <c r="E42" s="81" t="e">
        <f t="shared" si="2"/>
        <v>#N/A</v>
      </c>
      <c r="F42" s="81" t="e">
        <f t="shared" si="15"/>
        <v>#N/A</v>
      </c>
      <c r="G42" s="81" t="e">
        <f t="shared" si="16"/>
        <v>#N/A</v>
      </c>
      <c r="H42" s="81" t="e">
        <f t="shared" si="17"/>
        <v>#N/A</v>
      </c>
      <c r="I42" s="81" t="e">
        <f t="shared" si="18"/>
        <v>#N/A</v>
      </c>
      <c r="J42" s="81" t="e">
        <f t="shared" si="19"/>
        <v>#N/A</v>
      </c>
      <c r="K42" s="87">
        <v>36</v>
      </c>
      <c r="L42" s="297"/>
      <c r="M42" s="298"/>
      <c r="N42" s="229">
        <f t="shared" si="8"/>
      </c>
      <c r="O42" s="229">
        <f t="shared" si="10"/>
      </c>
      <c r="P42" s="8">
        <f t="shared" si="11"/>
      </c>
      <c r="Q42" s="102">
        <f t="shared" si="12"/>
      </c>
      <c r="W42" s="292"/>
      <c r="X42" s="255"/>
    </row>
    <row r="43" spans="1:23" ht="12" customHeight="1">
      <c r="A43" s="95">
        <f t="shared" si="13"/>
      </c>
      <c r="B43" s="81">
        <v>37</v>
      </c>
      <c r="C43" s="81" t="e">
        <f t="shared" si="14"/>
        <v>#N/A</v>
      </c>
      <c r="D43" s="81">
        <f t="shared" si="9"/>
        <v>2</v>
      </c>
      <c r="E43" s="81" t="e">
        <f t="shared" si="2"/>
        <v>#N/A</v>
      </c>
      <c r="F43" s="81" t="e">
        <f t="shared" si="15"/>
        <v>#N/A</v>
      </c>
      <c r="G43" s="81" t="e">
        <f t="shared" si="16"/>
        <v>#N/A</v>
      </c>
      <c r="H43" s="81" t="e">
        <f t="shared" si="17"/>
        <v>#N/A</v>
      </c>
      <c r="I43" s="81" t="e">
        <f t="shared" si="18"/>
        <v>#N/A</v>
      </c>
      <c r="J43" s="81" t="e">
        <f t="shared" si="19"/>
        <v>#N/A</v>
      </c>
      <c r="K43" s="87">
        <v>37</v>
      </c>
      <c r="L43" s="297"/>
      <c r="M43" s="298"/>
      <c r="N43" s="229">
        <f t="shared" si="8"/>
      </c>
      <c r="O43" s="229">
        <f t="shared" si="10"/>
      </c>
      <c r="P43" s="8">
        <f t="shared" si="11"/>
      </c>
      <c r="Q43" s="102">
        <f t="shared" si="12"/>
      </c>
      <c r="R43" s="271" t="s">
        <v>52</v>
      </c>
      <c r="W43" s="292"/>
    </row>
    <row r="44" spans="1:23" ht="12" customHeight="1">
      <c r="A44" s="95">
        <f t="shared" si="13"/>
      </c>
      <c r="B44" s="81">
        <v>38</v>
      </c>
      <c r="C44" s="81" t="e">
        <f t="shared" si="14"/>
        <v>#N/A</v>
      </c>
      <c r="D44" s="81">
        <f t="shared" si="9"/>
        <v>2</v>
      </c>
      <c r="E44" s="81" t="e">
        <f t="shared" si="2"/>
        <v>#N/A</v>
      </c>
      <c r="F44" s="81" t="e">
        <f t="shared" si="15"/>
        <v>#N/A</v>
      </c>
      <c r="G44" s="81" t="e">
        <f t="shared" si="16"/>
        <v>#N/A</v>
      </c>
      <c r="H44" s="81" t="e">
        <f t="shared" si="17"/>
        <v>#N/A</v>
      </c>
      <c r="I44" s="81" t="e">
        <f t="shared" si="18"/>
        <v>#N/A</v>
      </c>
      <c r="J44" s="81" t="e">
        <f t="shared" si="19"/>
        <v>#N/A</v>
      </c>
      <c r="K44" s="87">
        <v>38</v>
      </c>
      <c r="L44" s="297"/>
      <c r="M44" s="298"/>
      <c r="N44" s="229">
        <f t="shared" si="8"/>
      </c>
      <c r="O44" s="229">
        <f t="shared" si="10"/>
      </c>
      <c r="P44" s="8">
        <f t="shared" si="11"/>
      </c>
      <c r="Q44" s="102">
        <f t="shared" si="12"/>
      </c>
      <c r="R44" s="272"/>
      <c r="W44" s="293"/>
    </row>
    <row r="45" spans="1:23" ht="12" customHeight="1">
      <c r="A45" s="95">
        <f t="shared" si="13"/>
      </c>
      <c r="B45" s="81">
        <v>39</v>
      </c>
      <c r="C45" s="81" t="e">
        <f t="shared" si="14"/>
        <v>#N/A</v>
      </c>
      <c r="D45" s="81">
        <f t="shared" si="9"/>
        <v>2</v>
      </c>
      <c r="E45" s="81" t="e">
        <f t="shared" si="2"/>
        <v>#N/A</v>
      </c>
      <c r="F45" s="81" t="e">
        <f t="shared" si="15"/>
        <v>#N/A</v>
      </c>
      <c r="G45" s="81" t="e">
        <f t="shared" si="16"/>
        <v>#N/A</v>
      </c>
      <c r="H45" s="81" t="e">
        <f t="shared" si="17"/>
        <v>#N/A</v>
      </c>
      <c r="I45" s="81" t="e">
        <f t="shared" si="18"/>
        <v>#N/A</v>
      </c>
      <c r="J45" s="81" t="e">
        <f t="shared" si="19"/>
        <v>#N/A</v>
      </c>
      <c r="K45" s="87">
        <v>39</v>
      </c>
      <c r="L45" s="297"/>
      <c r="M45" s="298"/>
      <c r="N45" s="229">
        <f t="shared" si="8"/>
      </c>
      <c r="O45" s="229">
        <f t="shared" si="10"/>
      </c>
      <c r="P45" s="8">
        <f t="shared" si="11"/>
      </c>
      <c r="Q45" s="102">
        <f t="shared" si="12"/>
      </c>
      <c r="R45" s="274" t="s">
        <v>102</v>
      </c>
      <c r="S45" s="227" t="s">
        <v>18</v>
      </c>
      <c r="T45" s="275">
        <f>IF(T12&lt;5,"N&lt;5 !",IF(ISERROR(1/STDEV(M7:M66)),"Sx=0 !!",ROUND((MAX(M7:M66)-MIN(M7:M66))/STDEV(M7:M66),2)))</f>
        <v>3.31</v>
      </c>
      <c r="U45" s="308" t="str">
        <f>IF(ISERROR(1/STDEV(M7:M66)),"",IF(T12&lt;5,"",IF(AND(T45&gt;=T46,T45&lt;=T47),"es kann Normalverteilung angenommen werden","es liegt  KEINE  Normalverteilung vor!")))</f>
        <v>es kann Normalverteilung angenommen werden</v>
      </c>
      <c r="V45" s="308"/>
      <c r="W45" s="294"/>
    </row>
    <row r="46" spans="1:23" ht="12" customHeight="1">
      <c r="A46" s="95">
        <f t="shared" si="13"/>
      </c>
      <c r="B46" s="81">
        <v>40</v>
      </c>
      <c r="C46" s="81" t="e">
        <f t="shared" si="14"/>
        <v>#N/A</v>
      </c>
      <c r="D46" s="81">
        <f t="shared" si="9"/>
        <v>2</v>
      </c>
      <c r="E46" s="81" t="e">
        <f t="shared" si="2"/>
        <v>#N/A</v>
      </c>
      <c r="F46" s="81" t="e">
        <f t="shared" si="15"/>
        <v>#N/A</v>
      </c>
      <c r="G46" s="81" t="e">
        <f t="shared" si="16"/>
        <v>#N/A</v>
      </c>
      <c r="H46" s="81" t="e">
        <f t="shared" si="17"/>
        <v>#N/A</v>
      </c>
      <c r="I46" s="81" t="e">
        <f t="shared" si="18"/>
        <v>#N/A</v>
      </c>
      <c r="J46" s="81" t="e">
        <f t="shared" si="19"/>
        <v>#N/A</v>
      </c>
      <c r="K46" s="87">
        <v>40</v>
      </c>
      <c r="L46" s="297"/>
      <c r="M46" s="298"/>
      <c r="N46" s="229">
        <f t="shared" si="8"/>
      </c>
      <c r="O46" s="229">
        <f t="shared" si="10"/>
      </c>
      <c r="P46" s="8">
        <f t="shared" si="11"/>
      </c>
      <c r="Q46" s="102">
        <f t="shared" si="12"/>
      </c>
      <c r="R46" s="11" t="s">
        <v>26</v>
      </c>
      <c r="S46" s="11" t="s">
        <v>28</v>
      </c>
      <c r="T46" s="275">
        <f>IF(T12&lt;5,"N&lt;5 *",IF(T12&gt;20,0.685239*LN(T12)+0.941137,VLOOKUP(T12,'Stat. Vergleichstabellen'!U3:W41,2)))</f>
        <v>2.51</v>
      </c>
      <c r="U46" s="308"/>
      <c r="V46" s="308"/>
      <c r="W46" s="285"/>
    </row>
    <row r="47" spans="1:23" ht="12" customHeight="1">
      <c r="A47" s="95">
        <f t="shared" si="13"/>
      </c>
      <c r="B47" s="81">
        <v>41</v>
      </c>
      <c r="C47" s="81" t="e">
        <f t="shared" si="14"/>
        <v>#N/A</v>
      </c>
      <c r="D47" s="81">
        <f t="shared" si="9"/>
        <v>2</v>
      </c>
      <c r="E47" s="81" t="e">
        <f t="shared" si="2"/>
        <v>#N/A</v>
      </c>
      <c r="F47" s="81" t="e">
        <f t="shared" si="15"/>
        <v>#N/A</v>
      </c>
      <c r="G47" s="81" t="e">
        <f t="shared" si="16"/>
        <v>#N/A</v>
      </c>
      <c r="H47" s="81" t="e">
        <f t="shared" si="17"/>
        <v>#N/A</v>
      </c>
      <c r="I47" s="81" t="e">
        <f t="shared" si="18"/>
        <v>#N/A</v>
      </c>
      <c r="J47" s="81" t="e">
        <f t="shared" si="19"/>
        <v>#N/A</v>
      </c>
      <c r="K47" s="87">
        <v>41</v>
      </c>
      <c r="L47" s="297"/>
      <c r="M47" s="298"/>
      <c r="N47" s="229">
        <f t="shared" si="8"/>
      </c>
      <c r="O47" s="229">
        <f t="shared" si="10"/>
      </c>
      <c r="P47" s="8">
        <f t="shared" si="11"/>
      </c>
      <c r="Q47" s="102">
        <f t="shared" si="12"/>
      </c>
      <c r="R47" s="11" t="s">
        <v>27</v>
      </c>
      <c r="S47" s="11" t="s">
        <v>29</v>
      </c>
      <c r="T47" s="275">
        <f>IF(T12&lt;5,"N&lt;5 *",IF(T12&gt;20,(-0.0000000453*T12^4+0.0000140952*T12^3-0.0017075911*T12^2+0.1060461287*T12+3.2646649996),VLOOKUP(T12,'Stat. Vergleichstabellen'!U3:W41,3)))</f>
        <v>3.88</v>
      </c>
      <c r="U47" s="266"/>
      <c r="W47" s="285"/>
    </row>
    <row r="48" spans="1:23" ht="12" customHeight="1">
      <c r="A48" s="95">
        <f t="shared" si="13"/>
      </c>
      <c r="B48" s="81">
        <v>42</v>
      </c>
      <c r="C48" s="81" t="e">
        <f t="shared" si="14"/>
        <v>#N/A</v>
      </c>
      <c r="D48" s="81">
        <f t="shared" si="9"/>
        <v>2</v>
      </c>
      <c r="E48" s="81" t="e">
        <f t="shared" si="2"/>
        <v>#N/A</v>
      </c>
      <c r="F48" s="81" t="e">
        <f t="shared" si="15"/>
        <v>#N/A</v>
      </c>
      <c r="G48" s="81" t="e">
        <f t="shared" si="16"/>
        <v>#N/A</v>
      </c>
      <c r="H48" s="81" t="e">
        <f t="shared" si="17"/>
        <v>#N/A</v>
      </c>
      <c r="I48" s="81" t="e">
        <f t="shared" si="18"/>
        <v>#N/A</v>
      </c>
      <c r="J48" s="81" t="e">
        <f t="shared" si="19"/>
        <v>#N/A</v>
      </c>
      <c r="K48" s="87">
        <v>42</v>
      </c>
      <c r="L48" s="297"/>
      <c r="M48" s="298"/>
      <c r="N48" s="229">
        <f t="shared" si="8"/>
      </c>
      <c r="O48" s="229">
        <f t="shared" si="10"/>
      </c>
      <c r="P48" s="8">
        <f t="shared" si="11"/>
      </c>
      <c r="Q48" s="102">
        <f t="shared" si="12"/>
      </c>
      <c r="W48" s="285"/>
    </row>
    <row r="49" spans="1:23" ht="12" customHeight="1">
      <c r="A49" s="95">
        <f t="shared" si="13"/>
      </c>
      <c r="B49" s="81">
        <v>43</v>
      </c>
      <c r="C49" s="81" t="e">
        <f t="shared" si="14"/>
        <v>#N/A</v>
      </c>
      <c r="D49" s="81">
        <f t="shared" si="9"/>
        <v>2</v>
      </c>
      <c r="E49" s="81" t="e">
        <f t="shared" si="2"/>
        <v>#N/A</v>
      </c>
      <c r="F49" s="81" t="e">
        <f t="shared" si="15"/>
        <v>#N/A</v>
      </c>
      <c r="G49" s="81" t="e">
        <f t="shared" si="16"/>
        <v>#N/A</v>
      </c>
      <c r="H49" s="81" t="e">
        <f t="shared" si="17"/>
        <v>#N/A</v>
      </c>
      <c r="I49" s="81" t="e">
        <f t="shared" si="18"/>
        <v>#N/A</v>
      </c>
      <c r="J49" s="81" t="e">
        <f t="shared" si="19"/>
        <v>#N/A</v>
      </c>
      <c r="K49" s="87">
        <v>43</v>
      </c>
      <c r="L49" s="297"/>
      <c r="M49" s="298"/>
      <c r="N49" s="229">
        <f t="shared" si="8"/>
      </c>
      <c r="O49" s="229">
        <f t="shared" si="10"/>
      </c>
      <c r="P49" s="8">
        <f t="shared" si="11"/>
      </c>
      <c r="Q49" s="102">
        <f t="shared" si="12"/>
      </c>
      <c r="R49" s="274" t="s">
        <v>114</v>
      </c>
      <c r="S49" s="223" t="s">
        <v>18</v>
      </c>
      <c r="T49" s="137">
        <f>IF(OR(ISBLANK(M5),(ISERROR(100-STDEV(M7:M66)/AVERAGE(M7:M66)*100))),"",ABS(ROUND((AVERAGE(M7:M66)-M5)*SQRT(T12)/STDEV(M7:M66),3)))</f>
        <v>0.582</v>
      </c>
      <c r="U49" s="276"/>
      <c r="V49" s="276"/>
      <c r="W49" s="285"/>
    </row>
    <row r="50" spans="1:23" ht="12" customHeight="1">
      <c r="A50" s="95">
        <f t="shared" si="13"/>
      </c>
      <c r="B50" s="81">
        <v>44</v>
      </c>
      <c r="C50" s="81" t="e">
        <f t="shared" si="14"/>
        <v>#N/A</v>
      </c>
      <c r="D50" s="81">
        <f t="shared" si="9"/>
        <v>2</v>
      </c>
      <c r="E50" s="81" t="e">
        <f t="shared" si="2"/>
        <v>#N/A</v>
      </c>
      <c r="F50" s="81" t="e">
        <f t="shared" si="15"/>
        <v>#N/A</v>
      </c>
      <c r="G50" s="81" t="e">
        <f t="shared" si="16"/>
        <v>#N/A</v>
      </c>
      <c r="H50" s="81" t="e">
        <f t="shared" si="17"/>
        <v>#N/A</v>
      </c>
      <c r="I50" s="81" t="e">
        <f t="shared" si="18"/>
        <v>#N/A</v>
      </c>
      <c r="J50" s="81" t="e">
        <f t="shared" si="19"/>
        <v>#N/A</v>
      </c>
      <c r="K50" s="87">
        <v>44</v>
      </c>
      <c r="L50" s="297"/>
      <c r="M50" s="298"/>
      <c r="N50" s="229">
        <f t="shared" si="8"/>
      </c>
      <c r="O50" s="229">
        <f t="shared" si="10"/>
      </c>
      <c r="P50" s="8">
        <f t="shared" si="11"/>
      </c>
      <c r="Q50" s="102">
        <f t="shared" si="12"/>
      </c>
      <c r="R50" s="277" t="str">
        <f>"(P = "&amp;S10&amp;"% )"</f>
        <v>(P = 99% )</v>
      </c>
      <c r="S50" s="223" t="s">
        <v>37</v>
      </c>
      <c r="T50" s="137">
        <f>IF(OR(ISBLANK(M5),(ISERROR(100-STDEV(M7:M66)/AVERAGE(M7:M66)*100))),"",ROUND(TINV(((100-S10)/100),(COUNT(M7:M66)-1)),3))</f>
        <v>3.25</v>
      </c>
      <c r="U50" s="276"/>
      <c r="V50" s="276"/>
      <c r="W50" s="285"/>
    </row>
    <row r="51" spans="1:23" ht="12" customHeight="1">
      <c r="A51" s="95">
        <f t="shared" si="13"/>
      </c>
      <c r="B51" s="81">
        <v>45</v>
      </c>
      <c r="C51" s="81" t="e">
        <f t="shared" si="14"/>
        <v>#N/A</v>
      </c>
      <c r="D51" s="81">
        <f t="shared" si="9"/>
        <v>2</v>
      </c>
      <c r="E51" s="81" t="e">
        <f t="shared" si="2"/>
        <v>#N/A</v>
      </c>
      <c r="F51" s="81" t="e">
        <f t="shared" si="15"/>
        <v>#N/A</v>
      </c>
      <c r="G51" s="81" t="e">
        <f t="shared" si="16"/>
        <v>#N/A</v>
      </c>
      <c r="H51" s="81" t="e">
        <f t="shared" si="17"/>
        <v>#N/A</v>
      </c>
      <c r="I51" s="81" t="e">
        <f t="shared" si="18"/>
        <v>#N/A</v>
      </c>
      <c r="J51" s="81" t="e">
        <f t="shared" si="19"/>
        <v>#N/A</v>
      </c>
      <c r="K51" s="87">
        <v>45</v>
      </c>
      <c r="L51" s="297"/>
      <c r="M51" s="298"/>
      <c r="N51" s="229">
        <f t="shared" si="8"/>
      </c>
      <c r="O51" s="229">
        <f t="shared" si="10"/>
      </c>
      <c r="P51" s="8">
        <f t="shared" si="11"/>
      </c>
      <c r="Q51" s="102">
        <f t="shared" si="12"/>
      </c>
      <c r="R51" s="310" t="str">
        <f>IF(ISBLANK(M5),"kein Sollwert angegeben!",IF(ISBLANK(S10),"Warscheinlichkeitsniveau ?",IF(ISERROR((AVERAGE(M7:M66)-M5)*SQRT(T12)/STDEV(M7:M66)),"Berechnung nicht möglich",(IF(OR(((AVERAGE(M7:M66)-M5)*SQRT(T12)/STDEV(M7:M66)&gt;TINV(((100-S10)/100),(COUNT(M7:M66)-1))),(-(AVERAGE(M7:M66)-M5)*SQRT(T12)/STDEV(M7:M66)&gt;TINV(((100-S10)/100),(COUNT(M7:M66)-1)))),"Der Mittelwert unterscheidet sich signifikant vom Sollwert!","Kein signifikanter Unterschied des Mittelwertes vom Sollwert nachweisbar")))))</f>
        <v>Kein signifikanter Unterschied des Mittelwertes vom Sollwert nachweisbar</v>
      </c>
      <c r="S51" s="310"/>
      <c r="T51" s="310"/>
      <c r="U51" s="310"/>
      <c r="V51" s="310"/>
      <c r="W51" s="285"/>
    </row>
    <row r="52" spans="1:23" ht="12" customHeight="1">
      <c r="A52" s="95">
        <f t="shared" si="13"/>
      </c>
      <c r="B52" s="81">
        <v>46</v>
      </c>
      <c r="C52" s="81" t="e">
        <f t="shared" si="14"/>
        <v>#N/A</v>
      </c>
      <c r="D52" s="81">
        <f t="shared" si="9"/>
        <v>2</v>
      </c>
      <c r="E52" s="81" t="e">
        <f t="shared" si="2"/>
        <v>#N/A</v>
      </c>
      <c r="F52" s="81" t="e">
        <f t="shared" si="15"/>
        <v>#N/A</v>
      </c>
      <c r="G52" s="81" t="e">
        <f t="shared" si="16"/>
        <v>#N/A</v>
      </c>
      <c r="H52" s="81" t="e">
        <f t="shared" si="17"/>
        <v>#N/A</v>
      </c>
      <c r="I52" s="81" t="e">
        <f t="shared" si="18"/>
        <v>#N/A</v>
      </c>
      <c r="J52" s="81" t="e">
        <f t="shared" si="19"/>
        <v>#N/A</v>
      </c>
      <c r="K52" s="87">
        <v>46</v>
      </c>
      <c r="L52" s="297"/>
      <c r="M52" s="298"/>
      <c r="N52" s="229">
        <f t="shared" si="8"/>
      </c>
      <c r="O52" s="229">
        <f t="shared" si="10"/>
      </c>
      <c r="P52" s="8">
        <f t="shared" si="11"/>
      </c>
      <c r="Q52" s="102">
        <f t="shared" si="12"/>
      </c>
      <c r="R52" s="232"/>
      <c r="S52" s="278"/>
      <c r="T52" s="278"/>
      <c r="U52" s="278"/>
      <c r="V52" s="278"/>
      <c r="W52" s="285"/>
    </row>
    <row r="53" spans="1:23" ht="12" customHeight="1">
      <c r="A53" s="95">
        <f t="shared" si="13"/>
      </c>
      <c r="B53" s="81">
        <v>47</v>
      </c>
      <c r="C53" s="81" t="e">
        <f t="shared" si="14"/>
        <v>#N/A</v>
      </c>
      <c r="D53" s="81">
        <f t="shared" si="9"/>
        <v>2</v>
      </c>
      <c r="E53" s="81" t="e">
        <f t="shared" si="2"/>
        <v>#N/A</v>
      </c>
      <c r="F53" s="81" t="e">
        <f t="shared" si="15"/>
        <v>#N/A</v>
      </c>
      <c r="G53" s="81" t="e">
        <f t="shared" si="16"/>
        <v>#N/A</v>
      </c>
      <c r="H53" s="81" t="e">
        <f t="shared" si="17"/>
        <v>#N/A</v>
      </c>
      <c r="I53" s="81" t="e">
        <f t="shared" si="18"/>
        <v>#N/A</v>
      </c>
      <c r="J53" s="81" t="e">
        <f t="shared" si="19"/>
        <v>#N/A</v>
      </c>
      <c r="K53" s="87">
        <v>47</v>
      </c>
      <c r="L53" s="297"/>
      <c r="M53" s="298"/>
      <c r="N53" s="229">
        <f t="shared" si="8"/>
      </c>
      <c r="O53" s="229">
        <f t="shared" si="10"/>
      </c>
      <c r="P53" s="8">
        <f t="shared" si="11"/>
      </c>
      <c r="Q53" s="102">
        <f t="shared" si="12"/>
      </c>
      <c r="T53" s="279"/>
      <c r="U53" s="279"/>
      <c r="V53" s="273"/>
      <c r="W53" s="295"/>
    </row>
    <row r="54" spans="1:23" ht="12" customHeight="1">
      <c r="A54" s="95">
        <f t="shared" si="13"/>
      </c>
      <c r="B54" s="81">
        <v>48</v>
      </c>
      <c r="C54" s="81" t="e">
        <f t="shared" si="14"/>
        <v>#N/A</v>
      </c>
      <c r="D54" s="81">
        <f t="shared" si="9"/>
        <v>2</v>
      </c>
      <c r="E54" s="81" t="e">
        <f t="shared" si="2"/>
        <v>#N/A</v>
      </c>
      <c r="F54" s="81" t="e">
        <f t="shared" si="15"/>
        <v>#N/A</v>
      </c>
      <c r="G54" s="81" t="e">
        <f t="shared" si="16"/>
        <v>#N/A</v>
      </c>
      <c r="H54" s="81" t="e">
        <f t="shared" si="17"/>
        <v>#N/A</v>
      </c>
      <c r="I54" s="81" t="e">
        <f t="shared" si="18"/>
        <v>#N/A</v>
      </c>
      <c r="J54" s="81" t="e">
        <f t="shared" si="19"/>
        <v>#N/A</v>
      </c>
      <c r="K54" s="87">
        <v>48</v>
      </c>
      <c r="L54" s="297"/>
      <c r="M54" s="298"/>
      <c r="N54" s="229">
        <f t="shared" si="8"/>
      </c>
      <c r="O54" s="229">
        <f t="shared" si="10"/>
      </c>
      <c r="P54" s="8">
        <f t="shared" si="11"/>
      </c>
      <c r="Q54" s="102">
        <f t="shared" si="12"/>
      </c>
      <c r="T54" s="279"/>
      <c r="U54" s="279"/>
      <c r="V54" s="273"/>
      <c r="W54" s="285"/>
    </row>
    <row r="55" spans="1:23" ht="12" customHeight="1">
      <c r="A55" s="95">
        <f t="shared" si="13"/>
      </c>
      <c r="B55" s="81">
        <v>49</v>
      </c>
      <c r="C55" s="81" t="e">
        <f t="shared" si="14"/>
        <v>#N/A</v>
      </c>
      <c r="D55" s="81">
        <f t="shared" si="9"/>
        <v>2</v>
      </c>
      <c r="E55" s="81" t="e">
        <f t="shared" si="2"/>
        <v>#N/A</v>
      </c>
      <c r="F55" s="81" t="e">
        <f t="shared" si="15"/>
        <v>#N/A</v>
      </c>
      <c r="G55" s="81" t="e">
        <f t="shared" si="16"/>
        <v>#N/A</v>
      </c>
      <c r="H55" s="81" t="e">
        <f t="shared" si="17"/>
        <v>#N/A</v>
      </c>
      <c r="I55" s="81" t="e">
        <f t="shared" si="18"/>
        <v>#N/A</v>
      </c>
      <c r="J55" s="81" t="e">
        <f t="shared" si="19"/>
        <v>#N/A</v>
      </c>
      <c r="K55" s="87">
        <v>49</v>
      </c>
      <c r="L55" s="297"/>
      <c r="M55" s="298"/>
      <c r="N55" s="229">
        <f t="shared" si="8"/>
      </c>
      <c r="O55" s="229">
        <f t="shared" si="10"/>
      </c>
      <c r="P55" s="8">
        <f t="shared" si="11"/>
      </c>
      <c r="Q55" s="102">
        <f t="shared" si="12"/>
      </c>
      <c r="T55" s="280"/>
      <c r="U55" s="280"/>
      <c r="W55" s="285"/>
    </row>
    <row r="56" spans="1:23" ht="12" customHeight="1">
      <c r="A56" s="95">
        <f t="shared" si="13"/>
      </c>
      <c r="B56" s="81">
        <v>50</v>
      </c>
      <c r="C56" s="81" t="e">
        <f t="shared" si="14"/>
        <v>#N/A</v>
      </c>
      <c r="D56" s="81">
        <f t="shared" si="9"/>
        <v>2</v>
      </c>
      <c r="E56" s="81" t="e">
        <f t="shared" si="2"/>
        <v>#N/A</v>
      </c>
      <c r="F56" s="81" t="e">
        <f t="shared" si="15"/>
        <v>#N/A</v>
      </c>
      <c r="G56" s="81" t="e">
        <f t="shared" si="16"/>
        <v>#N/A</v>
      </c>
      <c r="H56" s="81" t="e">
        <f t="shared" si="17"/>
        <v>#N/A</v>
      </c>
      <c r="I56" s="81" t="e">
        <f t="shared" si="18"/>
        <v>#N/A</v>
      </c>
      <c r="J56" s="81" t="e">
        <f t="shared" si="19"/>
        <v>#N/A</v>
      </c>
      <c r="K56" s="87">
        <v>50</v>
      </c>
      <c r="L56" s="297"/>
      <c r="M56" s="298"/>
      <c r="N56" s="229">
        <f t="shared" si="8"/>
      </c>
      <c r="O56" s="229">
        <f t="shared" si="10"/>
      </c>
      <c r="P56" s="8">
        <f t="shared" si="11"/>
      </c>
      <c r="Q56" s="102">
        <f t="shared" si="12"/>
      </c>
      <c r="W56" s="285"/>
    </row>
    <row r="57" spans="1:23" ht="12" customHeight="1">
      <c r="A57" s="95">
        <f t="shared" si="13"/>
      </c>
      <c r="B57" s="81">
        <v>51</v>
      </c>
      <c r="C57" s="81" t="e">
        <f t="shared" si="14"/>
        <v>#N/A</v>
      </c>
      <c r="D57" s="81">
        <f t="shared" si="9"/>
        <v>2</v>
      </c>
      <c r="E57" s="81" t="e">
        <f t="shared" si="2"/>
        <v>#N/A</v>
      </c>
      <c r="F57" s="81" t="e">
        <f t="shared" si="15"/>
        <v>#N/A</v>
      </c>
      <c r="G57" s="81" t="e">
        <f t="shared" si="16"/>
        <v>#N/A</v>
      </c>
      <c r="H57" s="81" t="e">
        <f t="shared" si="17"/>
        <v>#N/A</v>
      </c>
      <c r="I57" s="81" t="e">
        <f t="shared" si="18"/>
        <v>#N/A</v>
      </c>
      <c r="J57" s="81" t="e">
        <f t="shared" si="19"/>
        <v>#N/A</v>
      </c>
      <c r="K57" s="87">
        <v>51</v>
      </c>
      <c r="L57" s="297"/>
      <c r="M57" s="298"/>
      <c r="N57" s="229">
        <f t="shared" si="8"/>
      </c>
      <c r="O57" s="229">
        <f t="shared" si="10"/>
      </c>
      <c r="P57" s="8">
        <f t="shared" si="11"/>
      </c>
      <c r="Q57" s="102">
        <f t="shared" si="12"/>
      </c>
      <c r="W57" s="285"/>
    </row>
    <row r="58" spans="1:23" ht="12" customHeight="1">
      <c r="A58" s="95">
        <f t="shared" si="13"/>
      </c>
      <c r="B58" s="81">
        <v>52</v>
      </c>
      <c r="C58" s="81" t="e">
        <f t="shared" si="14"/>
        <v>#N/A</v>
      </c>
      <c r="D58" s="81">
        <f t="shared" si="9"/>
        <v>2</v>
      </c>
      <c r="E58" s="81" t="e">
        <f t="shared" si="2"/>
        <v>#N/A</v>
      </c>
      <c r="F58" s="81" t="e">
        <f t="shared" si="15"/>
        <v>#N/A</v>
      </c>
      <c r="G58" s="81" t="e">
        <f t="shared" si="16"/>
        <v>#N/A</v>
      </c>
      <c r="H58" s="81" t="e">
        <f t="shared" si="17"/>
        <v>#N/A</v>
      </c>
      <c r="I58" s="81" t="e">
        <f t="shared" si="18"/>
        <v>#N/A</v>
      </c>
      <c r="J58" s="81" t="e">
        <f t="shared" si="19"/>
        <v>#N/A</v>
      </c>
      <c r="K58" s="87">
        <v>52</v>
      </c>
      <c r="L58" s="297"/>
      <c r="M58" s="298"/>
      <c r="N58" s="229">
        <f t="shared" si="8"/>
      </c>
      <c r="O58" s="229">
        <f t="shared" si="10"/>
      </c>
      <c r="P58" s="8">
        <f t="shared" si="11"/>
      </c>
      <c r="Q58" s="102">
        <f t="shared" si="12"/>
      </c>
      <c r="W58" s="285"/>
    </row>
    <row r="59" spans="1:23" ht="12" customHeight="1">
      <c r="A59" s="95">
        <f t="shared" si="13"/>
      </c>
      <c r="B59" s="81">
        <v>53</v>
      </c>
      <c r="C59" s="81" t="e">
        <f t="shared" si="14"/>
        <v>#N/A</v>
      </c>
      <c r="D59" s="81">
        <f t="shared" si="9"/>
        <v>2</v>
      </c>
      <c r="E59" s="81" t="e">
        <f t="shared" si="2"/>
        <v>#N/A</v>
      </c>
      <c r="F59" s="81" t="e">
        <f t="shared" si="15"/>
        <v>#N/A</v>
      </c>
      <c r="G59" s="81" t="e">
        <f t="shared" si="16"/>
        <v>#N/A</v>
      </c>
      <c r="H59" s="81" t="e">
        <f t="shared" si="17"/>
        <v>#N/A</v>
      </c>
      <c r="I59" s="81" t="e">
        <f t="shared" si="18"/>
        <v>#N/A</v>
      </c>
      <c r="J59" s="81" t="e">
        <f t="shared" si="19"/>
        <v>#N/A</v>
      </c>
      <c r="K59" s="87">
        <v>53</v>
      </c>
      <c r="L59" s="297"/>
      <c r="M59" s="298"/>
      <c r="N59" s="229">
        <f t="shared" si="8"/>
      </c>
      <c r="O59" s="229">
        <f t="shared" si="10"/>
      </c>
      <c r="P59" s="8">
        <f t="shared" si="11"/>
      </c>
      <c r="Q59" s="102">
        <f t="shared" si="12"/>
      </c>
      <c r="W59" s="285"/>
    </row>
    <row r="60" spans="1:23" ht="12" customHeight="1">
      <c r="A60" s="95">
        <f t="shared" si="13"/>
      </c>
      <c r="B60" s="81">
        <v>54</v>
      </c>
      <c r="C60" s="81" t="e">
        <f t="shared" si="14"/>
        <v>#N/A</v>
      </c>
      <c r="D60" s="81">
        <f t="shared" si="9"/>
        <v>2</v>
      </c>
      <c r="E60" s="81" t="e">
        <f t="shared" si="2"/>
        <v>#N/A</v>
      </c>
      <c r="F60" s="81" t="e">
        <f t="shared" si="15"/>
        <v>#N/A</v>
      </c>
      <c r="G60" s="81" t="e">
        <f t="shared" si="16"/>
        <v>#N/A</v>
      </c>
      <c r="H60" s="81" t="e">
        <f t="shared" si="17"/>
        <v>#N/A</v>
      </c>
      <c r="I60" s="81" t="e">
        <f t="shared" si="18"/>
        <v>#N/A</v>
      </c>
      <c r="J60" s="81" t="e">
        <f t="shared" si="19"/>
        <v>#N/A</v>
      </c>
      <c r="K60" s="87">
        <v>54</v>
      </c>
      <c r="L60" s="297"/>
      <c r="M60" s="298"/>
      <c r="N60" s="229">
        <f t="shared" si="8"/>
      </c>
      <c r="O60" s="229">
        <f t="shared" si="10"/>
      </c>
      <c r="P60" s="8">
        <f t="shared" si="11"/>
      </c>
      <c r="Q60" s="102">
        <f t="shared" si="12"/>
      </c>
      <c r="W60" s="285"/>
    </row>
    <row r="61" spans="1:23" ht="12" customHeight="1">
      <c r="A61" s="95">
        <f t="shared" si="13"/>
      </c>
      <c r="B61" s="81">
        <v>55</v>
      </c>
      <c r="C61" s="81" t="e">
        <f t="shared" si="14"/>
        <v>#N/A</v>
      </c>
      <c r="D61" s="81">
        <f t="shared" si="9"/>
        <v>2</v>
      </c>
      <c r="E61" s="81" t="e">
        <f t="shared" si="2"/>
        <v>#N/A</v>
      </c>
      <c r="F61" s="81" t="e">
        <f t="shared" si="15"/>
        <v>#N/A</v>
      </c>
      <c r="G61" s="81" t="e">
        <f t="shared" si="16"/>
        <v>#N/A</v>
      </c>
      <c r="H61" s="81" t="e">
        <f t="shared" si="17"/>
        <v>#N/A</v>
      </c>
      <c r="I61" s="81" t="e">
        <f t="shared" si="18"/>
        <v>#N/A</v>
      </c>
      <c r="J61" s="81" t="e">
        <f t="shared" si="19"/>
        <v>#N/A</v>
      </c>
      <c r="K61" s="87">
        <v>55</v>
      </c>
      <c r="L61" s="297"/>
      <c r="M61" s="298"/>
      <c r="N61" s="229">
        <f t="shared" si="8"/>
      </c>
      <c r="O61" s="229">
        <f t="shared" si="10"/>
      </c>
      <c r="P61" s="8">
        <f t="shared" si="11"/>
      </c>
      <c r="Q61" s="102">
        <f t="shared" si="12"/>
      </c>
      <c r="W61" s="285"/>
    </row>
    <row r="62" spans="1:23" ht="12" customHeight="1">
      <c r="A62" s="95">
        <f t="shared" si="13"/>
      </c>
      <c r="B62" s="81">
        <v>56</v>
      </c>
      <c r="C62" s="81" t="e">
        <f t="shared" si="14"/>
        <v>#N/A</v>
      </c>
      <c r="D62" s="81">
        <f t="shared" si="9"/>
        <v>2</v>
      </c>
      <c r="E62" s="81" t="e">
        <f t="shared" si="2"/>
        <v>#N/A</v>
      </c>
      <c r="F62" s="81" t="e">
        <f t="shared" si="15"/>
        <v>#N/A</v>
      </c>
      <c r="G62" s="81" t="e">
        <f t="shared" si="16"/>
        <v>#N/A</v>
      </c>
      <c r="H62" s="81" t="e">
        <f t="shared" si="17"/>
        <v>#N/A</v>
      </c>
      <c r="I62" s="81" t="e">
        <f t="shared" si="18"/>
        <v>#N/A</v>
      </c>
      <c r="J62" s="81" t="e">
        <f t="shared" si="19"/>
        <v>#N/A</v>
      </c>
      <c r="K62" s="87">
        <v>56</v>
      </c>
      <c r="L62" s="297"/>
      <c r="M62" s="298"/>
      <c r="N62" s="229">
        <f t="shared" si="8"/>
      </c>
      <c r="O62" s="229">
        <f t="shared" si="10"/>
      </c>
      <c r="P62" s="8">
        <f t="shared" si="11"/>
      </c>
      <c r="Q62" s="102">
        <f t="shared" si="12"/>
      </c>
      <c r="S62" s="277"/>
      <c r="T62" s="277"/>
      <c r="U62" s="277"/>
      <c r="V62" s="277"/>
      <c r="W62" s="285"/>
    </row>
    <row r="63" spans="1:23" ht="12" customHeight="1">
      <c r="A63" s="95">
        <f t="shared" si="13"/>
      </c>
      <c r="B63" s="81">
        <v>57</v>
      </c>
      <c r="C63" s="81" t="e">
        <f t="shared" si="14"/>
        <v>#N/A</v>
      </c>
      <c r="D63" s="81">
        <f t="shared" si="9"/>
        <v>2</v>
      </c>
      <c r="E63" s="81" t="e">
        <f t="shared" si="2"/>
        <v>#N/A</v>
      </c>
      <c r="F63" s="81" t="e">
        <f t="shared" si="15"/>
        <v>#N/A</v>
      </c>
      <c r="G63" s="81" t="e">
        <f t="shared" si="16"/>
        <v>#N/A</v>
      </c>
      <c r="H63" s="81" t="e">
        <f t="shared" si="17"/>
        <v>#N/A</v>
      </c>
      <c r="I63" s="81" t="e">
        <f t="shared" si="18"/>
        <v>#N/A</v>
      </c>
      <c r="J63" s="81" t="e">
        <f t="shared" si="19"/>
        <v>#N/A</v>
      </c>
      <c r="K63" s="87">
        <v>57</v>
      </c>
      <c r="L63" s="297"/>
      <c r="M63" s="298"/>
      <c r="N63" s="229">
        <f t="shared" si="8"/>
      </c>
      <c r="O63" s="229">
        <f t="shared" si="10"/>
      </c>
      <c r="P63" s="8">
        <f t="shared" si="11"/>
      </c>
      <c r="Q63" s="102">
        <f t="shared" si="12"/>
      </c>
      <c r="W63" s="285"/>
    </row>
    <row r="64" spans="1:23" ht="12" customHeight="1">
      <c r="A64" s="95">
        <f t="shared" si="13"/>
      </c>
      <c r="B64" s="81">
        <v>58</v>
      </c>
      <c r="C64" s="81" t="e">
        <f t="shared" si="14"/>
        <v>#N/A</v>
      </c>
      <c r="D64" s="81">
        <f t="shared" si="9"/>
        <v>2</v>
      </c>
      <c r="E64" s="81" t="e">
        <f t="shared" si="2"/>
        <v>#N/A</v>
      </c>
      <c r="F64" s="81" t="e">
        <f t="shared" si="15"/>
        <v>#N/A</v>
      </c>
      <c r="G64" s="81" t="e">
        <f t="shared" si="16"/>
        <v>#N/A</v>
      </c>
      <c r="H64" s="81" t="e">
        <f t="shared" si="17"/>
        <v>#N/A</v>
      </c>
      <c r="I64" s="81" t="e">
        <f t="shared" si="18"/>
        <v>#N/A</v>
      </c>
      <c r="J64" s="81" t="e">
        <f t="shared" si="19"/>
        <v>#N/A</v>
      </c>
      <c r="K64" s="87">
        <v>58</v>
      </c>
      <c r="L64" s="297"/>
      <c r="M64" s="298"/>
      <c r="N64" s="229">
        <f t="shared" si="8"/>
      </c>
      <c r="O64" s="229">
        <f t="shared" si="10"/>
      </c>
      <c r="P64" s="8">
        <f t="shared" si="11"/>
      </c>
      <c r="Q64" s="102">
        <f t="shared" si="12"/>
      </c>
      <c r="W64" s="285"/>
    </row>
    <row r="65" spans="1:23" ht="12" customHeight="1">
      <c r="A65" s="95">
        <f t="shared" si="13"/>
      </c>
      <c r="B65" s="81">
        <v>59</v>
      </c>
      <c r="C65" s="81" t="e">
        <f t="shared" si="14"/>
        <v>#N/A</v>
      </c>
      <c r="D65" s="81">
        <f t="shared" si="9"/>
        <v>2</v>
      </c>
      <c r="E65" s="81" t="e">
        <f t="shared" si="2"/>
        <v>#N/A</v>
      </c>
      <c r="F65" s="81" t="e">
        <f t="shared" si="15"/>
        <v>#N/A</v>
      </c>
      <c r="G65" s="81" t="e">
        <f t="shared" si="16"/>
        <v>#N/A</v>
      </c>
      <c r="H65" s="81" t="e">
        <f t="shared" si="17"/>
        <v>#N/A</v>
      </c>
      <c r="I65" s="81" t="e">
        <f t="shared" si="18"/>
        <v>#N/A</v>
      </c>
      <c r="J65" s="81" t="e">
        <f t="shared" si="19"/>
        <v>#N/A</v>
      </c>
      <c r="K65" s="87">
        <v>59</v>
      </c>
      <c r="L65" s="297"/>
      <c r="M65" s="298"/>
      <c r="N65" s="229">
        <f t="shared" si="8"/>
      </c>
      <c r="O65" s="229">
        <f t="shared" si="10"/>
      </c>
      <c r="P65" s="8">
        <f t="shared" si="11"/>
      </c>
      <c r="Q65" s="102">
        <f t="shared" si="12"/>
      </c>
      <c r="W65" s="285"/>
    </row>
    <row r="66" spans="1:23" ht="12" customHeight="1">
      <c r="A66" s="95">
        <f t="shared" si="13"/>
      </c>
      <c r="B66" s="81">
        <v>60</v>
      </c>
      <c r="C66" s="81" t="e">
        <f t="shared" si="14"/>
        <v>#N/A</v>
      </c>
      <c r="D66" s="81">
        <f t="shared" si="9"/>
        <v>2</v>
      </c>
      <c r="E66" s="81" t="e">
        <f t="shared" si="2"/>
        <v>#N/A</v>
      </c>
      <c r="F66" s="81" t="e">
        <f t="shared" si="15"/>
        <v>#N/A</v>
      </c>
      <c r="G66" s="81" t="e">
        <f t="shared" si="16"/>
        <v>#N/A</v>
      </c>
      <c r="H66" s="81" t="e">
        <f t="shared" si="17"/>
        <v>#N/A</v>
      </c>
      <c r="I66" s="81" t="e">
        <f t="shared" si="18"/>
        <v>#N/A</v>
      </c>
      <c r="J66" s="81" t="e">
        <f t="shared" si="19"/>
        <v>#N/A</v>
      </c>
      <c r="K66" s="87">
        <v>60</v>
      </c>
      <c r="L66" s="299"/>
      <c r="M66" s="300"/>
      <c r="N66" s="281">
        <f>IF(OR(ISBLANK(M66),ISTEXT(M66),ISBLANK(M67)),"",IF(AND(ISBLANK(M67),ISBLANK(M68)),"",(M66-M67)^2))</f>
      </c>
      <c r="O66" s="282">
        <f t="shared" si="10"/>
      </c>
      <c r="P66" s="8">
        <f t="shared" si="11"/>
      </c>
      <c r="Q66" s="102">
        <f t="shared" si="12"/>
      </c>
      <c r="W66" s="285"/>
    </row>
    <row r="67" spans="1:23" ht="12" customHeight="1">
      <c r="A67" s="9">
        <f t="shared" si="13"/>
      </c>
      <c r="B67" s="10"/>
      <c r="C67" s="10" t="s">
        <v>44</v>
      </c>
      <c r="D67" s="10"/>
      <c r="E67" s="10" t="e">
        <f t="shared" si="2"/>
        <v>#N/A</v>
      </c>
      <c r="F67" s="94" t="s">
        <v>54</v>
      </c>
      <c r="G67" s="10">
        <f>STDEV(M7:M66)*TINV((100-S10)/100,(T12-1))/SQRT(T12)</f>
        <v>2.7935209220242108</v>
      </c>
      <c r="H67" s="94" t="s">
        <v>55</v>
      </c>
      <c r="I67" s="10">
        <f>STDEV(M7:M66)</f>
        <v>2.718251071716682</v>
      </c>
      <c r="J67" s="10" t="e">
        <f t="shared" si="19"/>
        <v>#N/A</v>
      </c>
      <c r="K67" s="88"/>
      <c r="L67" s="88"/>
      <c r="M67" s="189"/>
      <c r="N67" s="188" t="str">
        <f>"SUMME="&amp;ROUND(SUM(N7:N66),3)</f>
        <v>SUMME=138</v>
      </c>
      <c r="O67" s="188">
        <f t="shared" si="10"/>
      </c>
      <c r="P67" s="341">
        <f t="shared" si="11"/>
      </c>
      <c r="Q67" s="342">
        <f t="shared" si="12"/>
      </c>
      <c r="W67" s="285"/>
    </row>
    <row r="68" spans="1:23" ht="12" customHeight="1">
      <c r="A68" s="285"/>
      <c r="B68" s="285"/>
      <c r="C68" s="285"/>
      <c r="D68" s="285"/>
      <c r="E68" s="285"/>
      <c r="F68" s="285"/>
      <c r="G68" s="285"/>
      <c r="H68" s="285"/>
      <c r="I68" s="285"/>
      <c r="J68" s="285"/>
      <c r="K68" s="285"/>
      <c r="L68" s="285"/>
      <c r="M68" s="285"/>
      <c r="N68" s="285"/>
      <c r="O68" s="285"/>
      <c r="P68" s="285"/>
      <c r="Q68" s="285"/>
      <c r="R68" s="285"/>
      <c r="S68" s="285"/>
      <c r="T68" s="285"/>
      <c r="U68" s="285"/>
      <c r="V68" s="285"/>
      <c r="W68" s="285"/>
    </row>
    <row r="69" spans="18:21" ht="12" customHeight="1">
      <c r="R69" s="255"/>
      <c r="S69" s="255"/>
      <c r="T69" s="255"/>
      <c r="U69" s="255"/>
    </row>
    <row r="70" spans="18:21" ht="12" customHeight="1">
      <c r="R70" s="255"/>
      <c r="S70" s="255"/>
      <c r="T70" s="255"/>
      <c r="U70" s="255"/>
    </row>
    <row r="71" spans="13:21" ht="12" customHeight="1">
      <c r="M71" s="11">
        <f>(M65-M67)^2</f>
        <v>0</v>
      </c>
      <c r="R71" s="255"/>
      <c r="S71" s="255"/>
      <c r="T71" s="255"/>
      <c r="U71" s="255"/>
    </row>
    <row r="72" spans="13:21" ht="12" customHeight="1">
      <c r="M72" s="234"/>
      <c r="N72" s="234"/>
      <c r="O72" s="234"/>
      <c r="R72" s="255"/>
      <c r="S72" s="255"/>
      <c r="T72" s="255"/>
      <c r="U72" s="255"/>
    </row>
    <row r="73" spans="13:21" ht="12" customHeight="1">
      <c r="M73" s="284"/>
      <c r="N73" s="284"/>
      <c r="O73" s="284"/>
      <c r="R73" s="255"/>
      <c r="S73" s="255"/>
      <c r="T73" s="255"/>
      <c r="U73" s="255"/>
    </row>
    <row r="74" spans="18:21" ht="12" customHeight="1">
      <c r="R74" s="255"/>
      <c r="S74" s="255"/>
      <c r="T74" s="255"/>
      <c r="U74" s="255"/>
    </row>
    <row r="75" spans="18:21" ht="12" customHeight="1">
      <c r="R75" s="255"/>
      <c r="S75" s="255"/>
      <c r="T75" s="255"/>
      <c r="U75" s="255"/>
    </row>
    <row r="76" spans="18:21" ht="12" customHeight="1">
      <c r="R76" s="255"/>
      <c r="S76" s="255"/>
      <c r="T76" s="255"/>
      <c r="U76" s="255"/>
    </row>
    <row r="77" spans="18:21" ht="12" customHeight="1">
      <c r="R77" s="255"/>
      <c r="S77" s="255"/>
      <c r="T77" s="255"/>
      <c r="U77" s="255"/>
    </row>
    <row r="78" spans="18:21" ht="12" customHeight="1">
      <c r="R78" s="255"/>
      <c r="S78" s="255"/>
      <c r="T78" s="255"/>
      <c r="U78" s="255"/>
    </row>
    <row r="79" spans="18:21" ht="12" customHeight="1">
      <c r="R79" s="255"/>
      <c r="S79" s="255"/>
      <c r="T79" s="255"/>
      <c r="U79" s="255"/>
    </row>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sheetProtection sheet="1" scenarios="1" selectLockedCells="1"/>
  <mergeCells count="5">
    <mergeCell ref="S4:T4"/>
    <mergeCell ref="U45:V46"/>
    <mergeCell ref="U40:V40"/>
    <mergeCell ref="R51:V51"/>
    <mergeCell ref="R37:V38"/>
  </mergeCells>
  <conditionalFormatting sqref="R51:V51">
    <cfRule type="cellIs" priority="1" dxfId="0" operator="equal" stopIfTrue="1">
      <formula>"Der Mittelwert unterscheidet sich signifikant vom Sollwert!"</formula>
    </cfRule>
    <cfRule type="cellIs" priority="2" dxfId="1" operator="equal" stopIfTrue="1">
      <formula>"kein Sollwert angegeben!"</formula>
    </cfRule>
    <cfRule type="cellIs" priority="3" dxfId="2" operator="equal" stopIfTrue="1">
      <formula>"Warscheinlichkeitsniveau ?"</formula>
    </cfRule>
  </conditionalFormatting>
  <conditionalFormatting sqref="R37">
    <cfRule type="cellIs" priority="4" dxfId="0" operator="equal" stopIfTrue="1">
      <formula>"Angaben unvollständig!"</formula>
    </cfRule>
  </conditionalFormatting>
  <conditionalFormatting sqref="V53:V54 W44">
    <cfRule type="cellIs" priority="5" dxfId="0" operator="equal" stopIfTrue="1">
      <formula>"SYSTEMATISCHER METHODENFEHLER,                keine Vergleichbarkeit zum Sollwert!"</formula>
    </cfRule>
    <cfRule type="cellIs" priority="6" dxfId="1" operator="equal" stopIfTrue="1">
      <formula>"kein Sollwert --&gt; kein T-Test!"</formula>
    </cfRule>
    <cfRule type="cellIs" priority="7" dxfId="2" operator="equal" stopIfTrue="1">
      <formula>"Warscheinlichkeitsniveau ?"</formula>
    </cfRule>
  </conditionalFormatting>
  <conditionalFormatting sqref="T40 T45">
    <cfRule type="cellIs" priority="8" dxfId="0" operator="equal" stopIfTrue="1">
      <formula>"N&lt;5 !"</formula>
    </cfRule>
    <cfRule type="cellIs" priority="9" dxfId="3" operator="equal" stopIfTrue="1">
      <formula>"Sx=0 !!"</formula>
    </cfRule>
  </conditionalFormatting>
  <conditionalFormatting sqref="T46:T47">
    <cfRule type="cellIs" priority="10" dxfId="0" operator="equal" stopIfTrue="1">
      <formula>"N&lt;5 !"</formula>
    </cfRule>
  </conditionalFormatting>
  <conditionalFormatting sqref="U36 T27:U29">
    <cfRule type="cellIs" priority="11" dxfId="0" operator="equal" stopIfTrue="1">
      <formula>"siehe oben"</formula>
    </cfRule>
  </conditionalFormatting>
  <conditionalFormatting sqref="T41">
    <cfRule type="cellIs" priority="12" dxfId="0" operator="equal" stopIfTrue="1">
      <formula>"N&lt;4 !"</formula>
    </cfRule>
  </conditionalFormatting>
  <conditionalFormatting sqref="T33:U33">
    <cfRule type="cellIs" priority="13" dxfId="0" operator="equal" stopIfTrue="1">
      <formula>"Meßwertschwankung zu hoch!"</formula>
    </cfRule>
    <cfRule type="cellIs" priority="14" dxfId="0" operator="equal" stopIfTrue="1">
      <formula>"n &lt; 2 ?"</formula>
    </cfRule>
  </conditionalFormatting>
  <conditionalFormatting sqref="U40:V40">
    <cfRule type="cellIs" priority="15" dxfId="0" operator="equal" stopIfTrue="1">
      <formula>"siehe oben"</formula>
    </cfRule>
    <cfRule type="cellIs" priority="16" dxfId="4" operator="equal" stopIfTrue="1">
      <formula>"kein Trend erkennbar"</formula>
    </cfRule>
    <cfRule type="cellIs" priority="17" dxfId="2" operator="equal" stopIfTrue="1">
      <formula>"es liegt ein Trend vor!"</formula>
    </cfRule>
  </conditionalFormatting>
  <conditionalFormatting sqref="U49:V50">
    <cfRule type="cellIs" priority="18" dxfId="0" operator="equal" stopIfTrue="1">
      <formula>"SYSTEMATISCHER METHODENFEHLER,                keine Vergleichbarkeit zum Sollwert!"</formula>
    </cfRule>
    <cfRule type="cellIs" priority="19" dxfId="1" operator="equal" stopIfTrue="1">
      <formula>"kein Sollwert angegeben!"</formula>
    </cfRule>
    <cfRule type="cellIs" priority="20" dxfId="2" operator="equal" stopIfTrue="1">
      <formula>"Warscheinlichkeitsniveau ?"</formula>
    </cfRule>
  </conditionalFormatting>
  <conditionalFormatting sqref="U45:V46">
    <cfRule type="cellIs" priority="21" dxfId="2" operator="equal" stopIfTrue="1">
      <formula>"es liegt  KEINE  Normalverteilung vor!"</formula>
    </cfRule>
  </conditionalFormatting>
  <conditionalFormatting sqref="T26">
    <cfRule type="cellIs" priority="22" dxfId="0" operator="equal" stopIfTrue="1">
      <formula>"n &lt; 2 ?"</formula>
    </cfRule>
  </conditionalFormatting>
  <conditionalFormatting sqref="T23:U24 T22">
    <cfRule type="cellIs" priority="23" dxfId="5" operator="equal" stopIfTrue="1">
      <formula>"kein Sollwert!"</formula>
    </cfRule>
    <cfRule type="cellIs" priority="24" dxfId="0" operator="equal" stopIfTrue="1">
      <formula>"siehe oben"</formula>
    </cfRule>
  </conditionalFormatting>
  <conditionalFormatting sqref="T17:T20 U17 U19 V20 V18">
    <cfRule type="cellIs" priority="25" dxfId="0" operator="equal" stopIfTrue="1">
      <formula>"n &lt; 2 !"</formula>
    </cfRule>
    <cfRule type="cellIs" priority="26" dxfId="6" operator="equal" stopIfTrue="1">
      <formula>0</formula>
    </cfRule>
  </conditionalFormatting>
  <conditionalFormatting sqref="W45">
    <cfRule type="cellIs" priority="27" dxfId="0" operator="equal" stopIfTrue="1">
      <formula>"SYSTEMATISCHER METHODENFEHLER, keine Vergleichbarkeit zum Sollwert!"</formula>
    </cfRule>
    <cfRule type="cellIs" priority="28" dxfId="7" operator="equal" stopIfTrue="1">
      <formula>"Vergleichbarkeit zum Sollwert,        kein systematischer Methodenfehler!"</formula>
    </cfRule>
  </conditionalFormatting>
  <conditionalFormatting sqref="X41:X42">
    <cfRule type="cellIs" priority="29" dxfId="0" operator="equal" stopIfTrue="1">
      <formula>"SYSTEMATISCHER METHODENFEHLER,                keine Vergleichbarkeit zum Sollwert!"</formula>
    </cfRule>
  </conditionalFormatting>
  <conditionalFormatting sqref="P7:Q67">
    <cfRule type="cellIs" priority="30" dxfId="8" operator="equal" stopIfTrue="1">
      <formula>"û"</formula>
    </cfRule>
    <cfRule type="cellIs" priority="31" dxfId="9" operator="equal" stopIfTrue="1">
      <formula>"ü"</formula>
    </cfRule>
    <cfRule type="cellIs" priority="32" dxfId="0" operator="equal" stopIfTrue="1">
      <formula>"L"</formula>
    </cfRule>
  </conditionalFormatting>
  <conditionalFormatting sqref="M7:M66">
    <cfRule type="cellIs" priority="33" dxfId="10" operator="notBetween" stopIfTrue="1">
      <formula>-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
      <formula>1E+300</formula>
    </cfRule>
  </conditionalFormatting>
  <printOptions/>
  <pageMargins left="0.7086614173228347" right="0.31496062992125984" top="0.6692913385826772" bottom="0.5905511811023623" header="0.5118110236220472" footer="0.5118110236220472"/>
  <pageSetup fitToHeight="1" fitToWidth="1" horizontalDpi="96" verticalDpi="96" orientation="portrait" paperSize="9" scale="68"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AB102"/>
  <sheetViews>
    <sheetView zoomScale="75" zoomScaleNormal="75" workbookViewId="0" topLeftCell="A1">
      <selection activeCell="V12" sqref="V12"/>
    </sheetView>
  </sheetViews>
  <sheetFormatPr defaultColWidth="11.421875" defaultRowHeight="12.75"/>
  <cols>
    <col min="1" max="1" width="6.8515625" style="1" customWidth="1"/>
    <col min="2" max="4" width="9.28125" style="1" customWidth="1"/>
    <col min="5" max="5" width="2.7109375" style="19" customWidth="1"/>
    <col min="6" max="6" width="6.8515625" style="1" customWidth="1"/>
    <col min="7" max="9" width="9.28125" style="1" customWidth="1"/>
    <col min="10" max="10" width="2.8515625" style="19" customWidth="1"/>
    <col min="11" max="11" width="6.8515625" style="1" customWidth="1"/>
    <col min="12" max="16" width="9.28125" style="1" customWidth="1"/>
    <col min="17" max="17" width="2.8515625" style="19" customWidth="1"/>
    <col min="18" max="19" width="9.28125" style="71" customWidth="1"/>
    <col min="20" max="20" width="2.8515625" style="19" customWidth="1"/>
    <col min="21" max="21" width="9.57421875" style="1" customWidth="1"/>
    <col min="22" max="23" width="10.421875" style="1" customWidth="1"/>
    <col min="24" max="24" width="1.7109375" style="19" customWidth="1"/>
    <col min="25" max="16384" width="11.421875" style="1" customWidth="1"/>
  </cols>
  <sheetData>
    <row r="1" spans="1:24" ht="15" customHeight="1">
      <c r="A1" s="16" t="s">
        <v>17</v>
      </c>
      <c r="B1" s="17"/>
      <c r="C1" s="17"/>
      <c r="D1" s="18"/>
      <c r="F1" s="16" t="s">
        <v>8</v>
      </c>
      <c r="G1" s="17"/>
      <c r="H1" s="17"/>
      <c r="I1" s="18"/>
      <c r="J1" s="20"/>
      <c r="K1" s="191" t="s">
        <v>105</v>
      </c>
      <c r="L1" s="17"/>
      <c r="M1" s="17"/>
      <c r="N1" s="17"/>
      <c r="O1" s="17"/>
      <c r="P1" s="18"/>
      <c r="Q1" s="20"/>
      <c r="R1" s="72" t="s">
        <v>35</v>
      </c>
      <c r="S1" s="73"/>
      <c r="T1" s="20"/>
      <c r="U1" s="57" t="s">
        <v>23</v>
      </c>
      <c r="V1" s="17"/>
      <c r="W1" s="13"/>
      <c r="X1" s="56"/>
    </row>
    <row r="2" spans="1:24" ht="15.75" customHeight="1" thickBot="1">
      <c r="A2" s="21" t="s">
        <v>15</v>
      </c>
      <c r="B2" s="22" t="s">
        <v>0</v>
      </c>
      <c r="C2" s="22" t="s">
        <v>1</v>
      </c>
      <c r="D2" s="23" t="s">
        <v>2</v>
      </c>
      <c r="F2" s="21" t="s">
        <v>9</v>
      </c>
      <c r="G2" s="22" t="s">
        <v>10</v>
      </c>
      <c r="H2" s="22" t="s">
        <v>0</v>
      </c>
      <c r="I2" s="23" t="s">
        <v>1</v>
      </c>
      <c r="J2" s="24"/>
      <c r="K2" s="21" t="s">
        <v>12</v>
      </c>
      <c r="L2" s="25" t="s">
        <v>13</v>
      </c>
      <c r="M2" s="22">
        <v>2</v>
      </c>
      <c r="N2" s="22">
        <v>3</v>
      </c>
      <c r="O2" s="22">
        <v>4</v>
      </c>
      <c r="P2" s="26" t="s">
        <v>3</v>
      </c>
      <c r="Q2" s="24"/>
      <c r="R2" s="74" t="s">
        <v>36</v>
      </c>
      <c r="S2" s="190" t="s">
        <v>1</v>
      </c>
      <c r="T2" s="24"/>
      <c r="U2" s="58" t="s">
        <v>106</v>
      </c>
      <c r="V2" s="22" t="s">
        <v>24</v>
      </c>
      <c r="W2" s="23" t="s">
        <v>25</v>
      </c>
      <c r="X2" s="56"/>
    </row>
    <row r="3" spans="1:24" ht="12.75">
      <c r="A3" s="27">
        <v>1</v>
      </c>
      <c r="B3" s="28">
        <v>12.706</v>
      </c>
      <c r="C3" s="28">
        <v>63.657</v>
      </c>
      <c r="D3" s="29">
        <v>636.619</v>
      </c>
      <c r="F3" s="27">
        <v>1</v>
      </c>
      <c r="G3" s="30" t="e">
        <v>#N/A</v>
      </c>
      <c r="H3" s="30" t="e">
        <v>#N/A</v>
      </c>
      <c r="I3" s="31" t="e">
        <v>#N/A</v>
      </c>
      <c r="J3" s="24"/>
      <c r="K3" s="27">
        <v>1</v>
      </c>
      <c r="L3" s="14">
        <v>161.4</v>
      </c>
      <c r="M3" s="14">
        <v>199.5</v>
      </c>
      <c r="N3" s="14">
        <v>215.7</v>
      </c>
      <c r="O3" s="14">
        <v>224.6</v>
      </c>
      <c r="P3" s="13">
        <v>254.3</v>
      </c>
      <c r="Q3" s="24"/>
      <c r="R3" s="75">
        <v>1</v>
      </c>
      <c r="S3" s="35" t="e">
        <v>#N/A</v>
      </c>
      <c r="T3" s="56"/>
      <c r="U3" s="27">
        <v>1</v>
      </c>
      <c r="V3" s="30" t="e">
        <v>#N/A</v>
      </c>
      <c r="W3" s="35" t="e">
        <v>#N/A</v>
      </c>
      <c r="X3" s="56"/>
    </row>
    <row r="4" spans="1:24" ht="12.75">
      <c r="A4" s="32">
        <v>2</v>
      </c>
      <c r="B4" s="33">
        <v>4.303</v>
      </c>
      <c r="C4" s="33">
        <v>9.925</v>
      </c>
      <c r="D4" s="34">
        <v>31.598</v>
      </c>
      <c r="F4" s="32">
        <v>2</v>
      </c>
      <c r="G4" s="30" t="e">
        <v>#N/A</v>
      </c>
      <c r="H4" s="30" t="e">
        <v>#N/A</v>
      </c>
      <c r="I4" s="35" t="e">
        <v>#N/A</v>
      </c>
      <c r="J4" s="24"/>
      <c r="K4" s="32">
        <v>2</v>
      </c>
      <c r="L4" s="36">
        <v>18.51</v>
      </c>
      <c r="M4" s="36">
        <v>19</v>
      </c>
      <c r="N4" s="36">
        <v>19.16</v>
      </c>
      <c r="O4" s="36">
        <v>19.25</v>
      </c>
      <c r="P4" s="37">
        <v>19.5</v>
      </c>
      <c r="Q4" s="24"/>
      <c r="R4" s="75">
        <v>2</v>
      </c>
      <c r="S4" s="35" t="e">
        <v>#N/A</v>
      </c>
      <c r="T4" s="56"/>
      <c r="U4" s="32">
        <v>2</v>
      </c>
      <c r="V4" s="30" t="e">
        <v>#N/A</v>
      </c>
      <c r="W4" s="35" t="e">
        <v>#N/A</v>
      </c>
      <c r="X4" s="56"/>
    </row>
    <row r="5" spans="1:24" ht="12.75">
      <c r="A5" s="27">
        <v>3</v>
      </c>
      <c r="B5" s="28">
        <v>3.182</v>
      </c>
      <c r="C5" s="28">
        <v>5.841</v>
      </c>
      <c r="D5" s="29">
        <v>12.924</v>
      </c>
      <c r="F5" s="27">
        <v>3</v>
      </c>
      <c r="G5" s="345">
        <f>(F5-1)/SQRT(F5)*SQRT(TINV(0.1/(F5/2),F5-2)^2/(F5-2+TINV(0.1/(F5/2),F5-2)^2))</f>
        <v>1.1483749268132555</v>
      </c>
      <c r="H5" s="345">
        <f>(F5-1)/SQRT(F5)*SQRT(TINV(0.05/(F5/2),F5-2)^2/(F5-2+TINV(0.05/(F5/2),F5-2)^2))</f>
        <v>1.153118047623465</v>
      </c>
      <c r="I5" s="345">
        <f>(F5-1)/SQRT(F5)*SQRT(TINV(0.01/(F5/2),F5-2)^2/(F5-2+TINV(0.01/(F5/2),F5-2)^2))</f>
        <v>1.1546372241277691</v>
      </c>
      <c r="J5" s="24"/>
      <c r="K5" s="27">
        <v>3</v>
      </c>
      <c r="L5" s="36">
        <v>10.13</v>
      </c>
      <c r="M5" s="36">
        <v>9.55</v>
      </c>
      <c r="N5" s="36">
        <v>9.28</v>
      </c>
      <c r="O5" s="36">
        <v>9.12</v>
      </c>
      <c r="P5" s="37">
        <v>8.53</v>
      </c>
      <c r="Q5" s="24"/>
      <c r="R5" s="75">
        <v>3</v>
      </c>
      <c r="S5" s="35" t="e">
        <v>#N/A</v>
      </c>
      <c r="T5" s="56"/>
      <c r="U5" s="27">
        <v>3</v>
      </c>
      <c r="V5" s="30" t="e">
        <v>#N/A</v>
      </c>
      <c r="W5" s="35" t="e">
        <v>#N/A</v>
      </c>
      <c r="X5" s="56"/>
    </row>
    <row r="6" spans="1:24" ht="12.75">
      <c r="A6" s="27">
        <v>4</v>
      </c>
      <c r="B6" s="28">
        <v>2.776</v>
      </c>
      <c r="C6" s="28">
        <v>4.604</v>
      </c>
      <c r="D6" s="29">
        <v>8.61</v>
      </c>
      <c r="F6" s="27">
        <v>4</v>
      </c>
      <c r="G6" s="345">
        <f aca="true" t="shared" si="0" ref="G6:G69">(F6-1)/SQRT(F6)*SQRT(TINV(0.1/(F6/2),F6-2)^2/(F6-2+TINV(0.1/(F6/2),F6-2)^2))</f>
        <v>1.4250000967212573</v>
      </c>
      <c r="H6" s="345">
        <f aca="true" t="shared" si="1" ref="H6:H33">(F6-1)/SQRT(F6)*SQRT(TINV(0.05/(F6/2),F6-2)^2/(F6-2+TINV(0.05/(F6/2),F6-2)^2))</f>
        <v>1.4625003071452545</v>
      </c>
      <c r="I6" s="345">
        <f aca="true" t="shared" si="2" ref="I6:I33">(F6-1)/SQRT(F6)*SQRT(TINV(0.01/(F6/2),F6-2)^2/(F6-2+TINV(0.01/(F6/2),F6-2)^2))</f>
        <v>1.492500123681942</v>
      </c>
      <c r="J6" s="24"/>
      <c r="K6" s="27">
        <v>4</v>
      </c>
      <c r="L6" s="36">
        <v>7.71</v>
      </c>
      <c r="M6" s="36">
        <v>6.94</v>
      </c>
      <c r="N6" s="36">
        <v>6.59</v>
      </c>
      <c r="O6" s="36">
        <v>6.39</v>
      </c>
      <c r="P6" s="37">
        <v>5.63</v>
      </c>
      <c r="Q6" s="24"/>
      <c r="R6" s="75">
        <v>4</v>
      </c>
      <c r="S6" s="76">
        <v>0.6256</v>
      </c>
      <c r="T6" s="56"/>
      <c r="U6" s="27">
        <v>4</v>
      </c>
      <c r="V6" s="30" t="e">
        <v>#N/A</v>
      </c>
      <c r="W6" s="35" t="e">
        <v>#N/A</v>
      </c>
      <c r="X6" s="56"/>
    </row>
    <row r="7" spans="1:24" ht="12.75">
      <c r="A7" s="27">
        <v>5</v>
      </c>
      <c r="B7" s="28">
        <v>2.571</v>
      </c>
      <c r="C7" s="28">
        <v>4.032</v>
      </c>
      <c r="D7" s="29">
        <v>6.869</v>
      </c>
      <c r="F7" s="27">
        <v>5</v>
      </c>
      <c r="G7" s="345">
        <f t="shared" si="0"/>
        <v>1.6016349274944626</v>
      </c>
      <c r="H7" s="345">
        <f t="shared" si="1"/>
        <v>1.6713858569606448</v>
      </c>
      <c r="I7" s="345">
        <f t="shared" si="2"/>
        <v>1.7488552147143503</v>
      </c>
      <c r="J7" s="24"/>
      <c r="K7" s="27">
        <v>5</v>
      </c>
      <c r="L7" s="36">
        <v>6.61</v>
      </c>
      <c r="M7" s="36">
        <v>5.79</v>
      </c>
      <c r="N7" s="36">
        <v>5.41</v>
      </c>
      <c r="O7" s="36">
        <v>5.19</v>
      </c>
      <c r="P7" s="37">
        <v>4.36</v>
      </c>
      <c r="Q7" s="24"/>
      <c r="R7" s="75">
        <v>5</v>
      </c>
      <c r="S7" s="76">
        <v>0.5379</v>
      </c>
      <c r="T7" s="56"/>
      <c r="U7" s="27">
        <v>5</v>
      </c>
      <c r="V7" s="36">
        <v>2.02</v>
      </c>
      <c r="W7" s="37">
        <v>2.8</v>
      </c>
      <c r="X7" s="56"/>
    </row>
    <row r="8" spans="1:24" ht="12.75">
      <c r="A8" s="27">
        <v>6</v>
      </c>
      <c r="B8" s="28">
        <v>2.447</v>
      </c>
      <c r="C8" s="28">
        <v>3.707</v>
      </c>
      <c r="D8" s="29">
        <v>5.959</v>
      </c>
      <c r="F8" s="27">
        <v>6</v>
      </c>
      <c r="G8" s="345">
        <f t="shared" si="0"/>
        <v>1.7288816204985344</v>
      </c>
      <c r="H8" s="345">
        <f t="shared" si="1"/>
        <v>1.8221187248576518</v>
      </c>
      <c r="I8" s="345">
        <f t="shared" si="2"/>
        <v>1.9442466467919142</v>
      </c>
      <c r="J8" s="24"/>
      <c r="K8" s="27">
        <v>6</v>
      </c>
      <c r="L8" s="36">
        <v>5.99</v>
      </c>
      <c r="M8" s="36">
        <v>5.14</v>
      </c>
      <c r="N8" s="36">
        <v>4.76</v>
      </c>
      <c r="O8" s="36">
        <v>4.53</v>
      </c>
      <c r="P8" s="37">
        <v>3.67</v>
      </c>
      <c r="Q8" s="24"/>
      <c r="R8" s="75">
        <v>6</v>
      </c>
      <c r="S8" s="76">
        <v>0.5615</v>
      </c>
      <c r="T8" s="56"/>
      <c r="U8" s="27">
        <v>6</v>
      </c>
      <c r="V8" s="36">
        <v>2.15</v>
      </c>
      <c r="W8" s="37">
        <v>3.1</v>
      </c>
      <c r="X8" s="56"/>
    </row>
    <row r="9" spans="1:24" ht="12.75">
      <c r="A9" s="27">
        <v>7</v>
      </c>
      <c r="B9" s="28">
        <v>2.365</v>
      </c>
      <c r="C9" s="28">
        <v>3.499</v>
      </c>
      <c r="D9" s="29">
        <v>5.408</v>
      </c>
      <c r="F9" s="27">
        <v>7</v>
      </c>
      <c r="G9" s="345">
        <f t="shared" si="0"/>
        <v>1.827976792021758</v>
      </c>
      <c r="H9" s="345">
        <f t="shared" si="1"/>
        <v>1.938136489252019</v>
      </c>
      <c r="I9" s="345">
        <f t="shared" si="2"/>
        <v>2.097300060707525</v>
      </c>
      <c r="J9" s="24"/>
      <c r="K9" s="27">
        <v>7</v>
      </c>
      <c r="L9" s="36">
        <v>5.59</v>
      </c>
      <c r="M9" s="36">
        <v>4.74</v>
      </c>
      <c r="N9" s="36">
        <v>4.35</v>
      </c>
      <c r="O9" s="36">
        <v>4.12</v>
      </c>
      <c r="P9" s="37">
        <v>3.23</v>
      </c>
      <c r="Q9" s="24"/>
      <c r="R9" s="75">
        <v>7</v>
      </c>
      <c r="S9" s="76">
        <v>0.614</v>
      </c>
      <c r="T9" s="56"/>
      <c r="U9" s="27">
        <v>7</v>
      </c>
      <c r="V9" s="36">
        <v>2.26</v>
      </c>
      <c r="W9" s="37">
        <v>3.34</v>
      </c>
      <c r="X9" s="56"/>
    </row>
    <row r="10" spans="1:24" ht="12.75">
      <c r="A10" s="27">
        <v>8</v>
      </c>
      <c r="B10" s="28">
        <v>2.306</v>
      </c>
      <c r="C10" s="28">
        <v>3.355</v>
      </c>
      <c r="D10" s="29">
        <v>5.041</v>
      </c>
      <c r="F10" s="27">
        <v>8</v>
      </c>
      <c r="G10" s="345">
        <f t="shared" si="0"/>
        <v>1.908948123909548</v>
      </c>
      <c r="H10" s="345">
        <f t="shared" si="1"/>
        <v>2.031654514645116</v>
      </c>
      <c r="I10" s="345">
        <f t="shared" si="2"/>
        <v>2.2208326275366903</v>
      </c>
      <c r="J10" s="24"/>
      <c r="K10" s="27">
        <v>8</v>
      </c>
      <c r="L10" s="36">
        <v>5.32</v>
      </c>
      <c r="M10" s="36">
        <v>4.46</v>
      </c>
      <c r="N10" s="36">
        <v>4.07</v>
      </c>
      <c r="O10" s="36">
        <v>3.84</v>
      </c>
      <c r="P10" s="37">
        <v>2.93</v>
      </c>
      <c r="Q10" s="24"/>
      <c r="R10" s="75">
        <v>8</v>
      </c>
      <c r="S10" s="76">
        <v>0.6628</v>
      </c>
      <c r="T10" s="56"/>
      <c r="U10" s="27">
        <v>8</v>
      </c>
      <c r="V10" s="36">
        <v>2.35</v>
      </c>
      <c r="W10" s="37">
        <v>3.54</v>
      </c>
      <c r="X10" s="56"/>
    </row>
    <row r="11" spans="1:24" ht="12.75">
      <c r="A11" s="27">
        <v>9</v>
      </c>
      <c r="B11" s="28">
        <v>2.262</v>
      </c>
      <c r="C11" s="28">
        <v>3.25</v>
      </c>
      <c r="D11" s="29">
        <v>4.781</v>
      </c>
      <c r="F11" s="27">
        <v>9</v>
      </c>
      <c r="G11" s="345">
        <f t="shared" si="0"/>
        <v>1.977265811119966</v>
      </c>
      <c r="H11" s="345">
        <f t="shared" si="1"/>
        <v>2.109558073630943</v>
      </c>
      <c r="I11" s="345">
        <f t="shared" si="2"/>
        <v>2.3231517690965116</v>
      </c>
      <c r="J11" s="24"/>
      <c r="K11" s="27">
        <v>9</v>
      </c>
      <c r="L11" s="36">
        <v>5.12</v>
      </c>
      <c r="M11" s="36">
        <v>4.26</v>
      </c>
      <c r="N11" s="36">
        <v>3.86</v>
      </c>
      <c r="O11" s="36">
        <v>3.63</v>
      </c>
      <c r="P11" s="37">
        <v>2.71</v>
      </c>
      <c r="Q11" s="24"/>
      <c r="R11" s="75">
        <v>9</v>
      </c>
      <c r="S11" s="76">
        <v>0.7088</v>
      </c>
      <c r="T11" s="56"/>
      <c r="U11" s="27">
        <v>9</v>
      </c>
      <c r="V11" s="36">
        <v>2.44</v>
      </c>
      <c r="W11" s="37">
        <v>3.72</v>
      </c>
      <c r="X11" s="56"/>
    </row>
    <row r="12" spans="1:24" ht="12.75">
      <c r="A12" s="38">
        <v>10</v>
      </c>
      <c r="B12" s="39">
        <v>2.228</v>
      </c>
      <c r="C12" s="39">
        <v>3.169</v>
      </c>
      <c r="D12" s="40">
        <v>4.587</v>
      </c>
      <c r="F12" s="27">
        <v>10</v>
      </c>
      <c r="G12" s="345">
        <f t="shared" si="0"/>
        <v>2.0362355694136944</v>
      </c>
      <c r="H12" s="345">
        <f t="shared" si="1"/>
        <v>2.1760665843805795</v>
      </c>
      <c r="I12" s="345">
        <f t="shared" si="2"/>
        <v>2.4097201802897406</v>
      </c>
      <c r="J12" s="24"/>
      <c r="K12" s="38">
        <v>10</v>
      </c>
      <c r="L12" s="41">
        <v>4.96</v>
      </c>
      <c r="M12" s="42">
        <v>4.1</v>
      </c>
      <c r="N12" s="42">
        <v>3.71</v>
      </c>
      <c r="O12" s="42">
        <v>3.48</v>
      </c>
      <c r="P12" s="43">
        <v>2.54</v>
      </c>
      <c r="Q12" s="24"/>
      <c r="R12" s="77">
        <v>10</v>
      </c>
      <c r="S12" s="78">
        <v>0.7518</v>
      </c>
      <c r="T12" s="56"/>
      <c r="U12" s="38">
        <v>10</v>
      </c>
      <c r="V12" s="42">
        <v>2.51</v>
      </c>
      <c r="W12" s="43">
        <v>3.88</v>
      </c>
      <c r="X12" s="56"/>
    </row>
    <row r="13" spans="1:24" ht="12.75">
      <c r="A13" s="27">
        <v>11</v>
      </c>
      <c r="B13" s="28">
        <v>2.201</v>
      </c>
      <c r="C13" s="28">
        <v>3.106</v>
      </c>
      <c r="D13" s="29">
        <v>4.437</v>
      </c>
      <c r="F13" s="27">
        <v>11</v>
      </c>
      <c r="G13" s="345">
        <f t="shared" si="0"/>
        <v>2.0880162185779887</v>
      </c>
      <c r="H13" s="345">
        <f t="shared" si="1"/>
        <v>2.2339042877157462</v>
      </c>
      <c r="I13" s="345">
        <f t="shared" si="2"/>
        <v>2.4842957482559904</v>
      </c>
      <c r="J13" s="24"/>
      <c r="K13" s="27">
        <v>11</v>
      </c>
      <c r="L13" s="36">
        <v>4.84</v>
      </c>
      <c r="M13" s="36">
        <v>3.98</v>
      </c>
      <c r="N13" s="36">
        <v>3.59</v>
      </c>
      <c r="O13" s="36">
        <v>3.36</v>
      </c>
      <c r="P13" s="37">
        <v>2.4</v>
      </c>
      <c r="Q13" s="24"/>
      <c r="R13" s="75">
        <v>11</v>
      </c>
      <c r="S13" s="76">
        <v>0.7915</v>
      </c>
      <c r="T13" s="56"/>
      <c r="U13" s="27">
        <v>11</v>
      </c>
      <c r="V13" s="36">
        <v>2.58</v>
      </c>
      <c r="W13" s="37">
        <v>4.01</v>
      </c>
      <c r="X13" s="56"/>
    </row>
    <row r="14" spans="1:24" ht="12.75">
      <c r="A14" s="27">
        <v>12</v>
      </c>
      <c r="B14" s="28">
        <v>2.179</v>
      </c>
      <c r="C14" s="28">
        <v>3.055</v>
      </c>
      <c r="D14" s="29">
        <v>4.318</v>
      </c>
      <c r="F14" s="27">
        <v>12</v>
      </c>
      <c r="G14" s="345">
        <f t="shared" si="0"/>
        <v>2.1340992369708847</v>
      </c>
      <c r="H14" s="345">
        <f t="shared" si="1"/>
        <v>2.284951551866846</v>
      </c>
      <c r="I14" s="345">
        <f t="shared" si="2"/>
        <v>2.5494171481313943</v>
      </c>
      <c r="J14" s="24"/>
      <c r="K14" s="27">
        <v>12</v>
      </c>
      <c r="L14" s="36">
        <v>4.75</v>
      </c>
      <c r="M14" s="36">
        <v>3.88</v>
      </c>
      <c r="N14" s="36">
        <v>3.49</v>
      </c>
      <c r="O14" s="36">
        <v>3.26</v>
      </c>
      <c r="P14" s="37">
        <v>2.3</v>
      </c>
      <c r="Q14" s="24"/>
      <c r="R14" s="75">
        <v>12</v>
      </c>
      <c r="S14" s="76">
        <v>0.828</v>
      </c>
      <c r="T14" s="56"/>
      <c r="U14" s="27">
        <v>12</v>
      </c>
      <c r="V14" s="36">
        <v>2.64</v>
      </c>
      <c r="W14" s="36">
        <v>4.13</v>
      </c>
      <c r="X14" s="56"/>
    </row>
    <row r="15" spans="1:24" ht="12.75">
      <c r="A15" s="27">
        <v>13</v>
      </c>
      <c r="B15" s="28">
        <v>2.16</v>
      </c>
      <c r="C15" s="28">
        <v>3.016</v>
      </c>
      <c r="D15" s="29">
        <v>4.221</v>
      </c>
      <c r="F15" s="27">
        <v>13</v>
      </c>
      <c r="G15" s="345">
        <f t="shared" si="0"/>
        <v>2.175562502951513</v>
      </c>
      <c r="H15" s="345">
        <f t="shared" si="1"/>
        <v>2.3305351717964924</v>
      </c>
      <c r="I15" s="345">
        <f t="shared" si="2"/>
        <v>2.6070305117265096</v>
      </c>
      <c r="J15" s="24"/>
      <c r="K15" s="27">
        <v>13</v>
      </c>
      <c r="L15" s="36">
        <v>4.67</v>
      </c>
      <c r="M15" s="36">
        <v>3.8</v>
      </c>
      <c r="N15" s="36">
        <v>3.41</v>
      </c>
      <c r="O15" s="36">
        <v>3.18</v>
      </c>
      <c r="P15" s="37">
        <v>2.21</v>
      </c>
      <c r="Q15" s="24"/>
      <c r="R15" s="75">
        <v>13</v>
      </c>
      <c r="S15" s="76">
        <v>0.8618</v>
      </c>
      <c r="T15" s="56"/>
      <c r="U15" s="27">
        <v>13</v>
      </c>
      <c r="V15" s="36">
        <v>2.7</v>
      </c>
      <c r="W15" s="36">
        <v>4.24</v>
      </c>
      <c r="X15" s="56"/>
    </row>
    <row r="16" spans="1:24" ht="12.75">
      <c r="A16" s="27">
        <v>14</v>
      </c>
      <c r="B16" s="28">
        <v>2.145</v>
      </c>
      <c r="C16" s="28">
        <v>2.977</v>
      </c>
      <c r="D16" s="29">
        <v>4.14</v>
      </c>
      <c r="F16" s="27">
        <v>14</v>
      </c>
      <c r="G16" s="345">
        <f t="shared" si="0"/>
        <v>2.213197825479714</v>
      </c>
      <c r="H16" s="345">
        <f t="shared" si="1"/>
        <v>2.3716488670648115</v>
      </c>
      <c r="I16" s="345">
        <f t="shared" si="2"/>
        <v>2.658478210529398</v>
      </c>
      <c r="J16" s="24"/>
      <c r="K16" s="27">
        <v>14</v>
      </c>
      <c r="L16" s="36">
        <v>4.6</v>
      </c>
      <c r="M16" s="36">
        <v>3.74</v>
      </c>
      <c r="N16" s="36">
        <v>3.34</v>
      </c>
      <c r="O16" s="36">
        <v>3.11</v>
      </c>
      <c r="P16" s="37">
        <v>2.13</v>
      </c>
      <c r="Q16" s="24"/>
      <c r="R16" s="75">
        <v>14</v>
      </c>
      <c r="S16" s="76">
        <v>0.8931</v>
      </c>
      <c r="T16" s="56"/>
      <c r="U16" s="27">
        <v>14</v>
      </c>
      <c r="V16" s="36">
        <v>2.75</v>
      </c>
      <c r="W16" s="36">
        <v>4.34</v>
      </c>
      <c r="X16" s="56"/>
    </row>
    <row r="17" spans="1:24" ht="12.75">
      <c r="A17" s="27">
        <v>15</v>
      </c>
      <c r="B17" s="28">
        <v>2.131</v>
      </c>
      <c r="C17" s="28">
        <v>2.947</v>
      </c>
      <c r="D17" s="29">
        <v>4.073</v>
      </c>
      <c r="F17" s="27">
        <v>15</v>
      </c>
      <c r="G17" s="345">
        <f t="shared" si="0"/>
        <v>2.247620948651309</v>
      </c>
      <c r="H17" s="345">
        <f t="shared" si="1"/>
        <v>2.4090334388031356</v>
      </c>
      <c r="I17" s="345">
        <f t="shared" si="2"/>
        <v>2.7048693594532995</v>
      </c>
      <c r="J17" s="24"/>
      <c r="K17" s="27">
        <v>15</v>
      </c>
      <c r="L17" s="36">
        <v>4.54</v>
      </c>
      <c r="M17" s="36">
        <v>3.68</v>
      </c>
      <c r="N17" s="36">
        <v>3.29</v>
      </c>
      <c r="O17" s="36">
        <v>3.06</v>
      </c>
      <c r="P17" s="37">
        <v>2.07</v>
      </c>
      <c r="Q17" s="24"/>
      <c r="R17" s="75">
        <v>15</v>
      </c>
      <c r="S17" s="76">
        <v>0.9221</v>
      </c>
      <c r="T17" s="56"/>
      <c r="U17" s="27">
        <v>15</v>
      </c>
      <c r="V17" s="36">
        <v>2.8</v>
      </c>
      <c r="W17" s="36">
        <v>4.44</v>
      </c>
      <c r="X17" s="56"/>
    </row>
    <row r="18" spans="1:24" ht="12.75">
      <c r="A18" s="27">
        <v>16</v>
      </c>
      <c r="B18" s="28">
        <v>2.12</v>
      </c>
      <c r="C18" s="28">
        <v>2.921</v>
      </c>
      <c r="D18" s="29">
        <v>4.015</v>
      </c>
      <c r="F18" s="27">
        <v>16</v>
      </c>
      <c r="G18" s="345">
        <f t="shared" si="0"/>
        <v>2.279309328278317</v>
      </c>
      <c r="H18" s="345">
        <f t="shared" si="1"/>
        <v>2.443271951015018</v>
      </c>
      <c r="I18" s="345">
        <f t="shared" si="2"/>
        <v>2.746947667317655</v>
      </c>
      <c r="J18" s="24"/>
      <c r="K18" s="27">
        <v>16</v>
      </c>
      <c r="L18" s="36">
        <v>4.49</v>
      </c>
      <c r="M18" s="36">
        <v>3.63</v>
      </c>
      <c r="N18" s="36">
        <v>3.24</v>
      </c>
      <c r="O18" s="36">
        <v>3.01</v>
      </c>
      <c r="P18" s="37">
        <v>2.01</v>
      </c>
      <c r="Q18" s="24"/>
      <c r="R18" s="75">
        <v>16</v>
      </c>
      <c r="S18" s="76">
        <v>0.9491</v>
      </c>
      <c r="T18" s="56"/>
      <c r="U18" s="27">
        <v>16</v>
      </c>
      <c r="V18" s="36">
        <v>2.84</v>
      </c>
      <c r="W18" s="36">
        <v>4.52</v>
      </c>
      <c r="X18" s="56"/>
    </row>
    <row r="19" spans="1:24" ht="12.75">
      <c r="A19" s="27">
        <v>17</v>
      </c>
      <c r="B19" s="28">
        <v>2.11</v>
      </c>
      <c r="C19" s="28">
        <v>2.898</v>
      </c>
      <c r="D19" s="29">
        <v>3.965</v>
      </c>
      <c r="F19" s="27">
        <v>17</v>
      </c>
      <c r="G19" s="345">
        <f t="shared" si="0"/>
        <v>2.3086286710129698</v>
      </c>
      <c r="H19" s="345">
        <f t="shared" si="1"/>
        <v>2.4748155259936633</v>
      </c>
      <c r="I19" s="345">
        <f t="shared" si="2"/>
        <v>2.7854368567055405</v>
      </c>
      <c r="J19" s="24"/>
      <c r="K19" s="27">
        <v>17</v>
      </c>
      <c r="L19" s="36">
        <v>4.45</v>
      </c>
      <c r="M19" s="36">
        <v>3.59</v>
      </c>
      <c r="N19" s="36">
        <v>3.2</v>
      </c>
      <c r="O19" s="36">
        <v>2.96</v>
      </c>
      <c r="P19" s="37">
        <v>1.96</v>
      </c>
      <c r="Q19" s="24"/>
      <c r="R19" s="75">
        <v>17</v>
      </c>
      <c r="S19" s="76">
        <v>0.9743</v>
      </c>
      <c r="T19" s="56"/>
      <c r="U19" s="27">
        <v>17</v>
      </c>
      <c r="V19" s="36">
        <v>2.88</v>
      </c>
      <c r="W19" s="36">
        <v>4.6</v>
      </c>
      <c r="X19" s="56"/>
    </row>
    <row r="20" spans="1:24" ht="12.75">
      <c r="A20" s="27">
        <v>18</v>
      </c>
      <c r="B20" s="28">
        <v>2.101</v>
      </c>
      <c r="C20" s="28">
        <v>2.878</v>
      </c>
      <c r="D20" s="29">
        <v>3.922</v>
      </c>
      <c r="F20" s="27">
        <v>18</v>
      </c>
      <c r="G20" s="345">
        <f t="shared" si="0"/>
        <v>2.33591038793019</v>
      </c>
      <c r="H20" s="345">
        <f t="shared" si="1"/>
        <v>2.504017787658392</v>
      </c>
      <c r="I20" s="345">
        <f t="shared" si="2"/>
        <v>2.8207893435733364</v>
      </c>
      <c r="J20" s="24"/>
      <c r="K20" s="27">
        <v>18</v>
      </c>
      <c r="L20" s="36">
        <v>4.41</v>
      </c>
      <c r="M20" s="36">
        <v>3.55</v>
      </c>
      <c r="N20" s="36">
        <v>3.16</v>
      </c>
      <c r="O20" s="36">
        <v>2.93</v>
      </c>
      <c r="P20" s="37">
        <v>1.92</v>
      </c>
      <c r="Q20" s="24"/>
      <c r="R20" s="75">
        <v>18</v>
      </c>
      <c r="S20" s="76">
        <v>0.9979</v>
      </c>
      <c r="T20" s="56"/>
      <c r="U20" s="27">
        <v>18</v>
      </c>
      <c r="V20" s="36">
        <v>2.92</v>
      </c>
      <c r="W20" s="36">
        <v>4.67</v>
      </c>
      <c r="X20" s="56"/>
    </row>
    <row r="21" spans="1:24" ht="12.75">
      <c r="A21" s="27">
        <v>19</v>
      </c>
      <c r="B21" s="28">
        <v>2.093</v>
      </c>
      <c r="C21" s="28">
        <v>2.861</v>
      </c>
      <c r="D21" s="29">
        <v>3.883</v>
      </c>
      <c r="F21" s="27">
        <v>19</v>
      </c>
      <c r="G21" s="345">
        <f t="shared" si="0"/>
        <v>2.361387133542728</v>
      </c>
      <c r="H21" s="345">
        <f t="shared" si="1"/>
        <v>2.5311927165488295</v>
      </c>
      <c r="I21" s="345">
        <f t="shared" si="2"/>
        <v>2.853519470425907</v>
      </c>
      <c r="J21" s="24"/>
      <c r="K21" s="27">
        <v>19</v>
      </c>
      <c r="L21" s="36">
        <v>4.38</v>
      </c>
      <c r="M21" s="36">
        <v>3.52</v>
      </c>
      <c r="N21" s="36">
        <v>3.13</v>
      </c>
      <c r="O21" s="36">
        <v>2.9</v>
      </c>
      <c r="P21" s="37">
        <v>1.88</v>
      </c>
      <c r="Q21" s="24"/>
      <c r="R21" s="75">
        <v>19</v>
      </c>
      <c r="S21" s="76">
        <v>1.0199</v>
      </c>
      <c r="T21" s="56"/>
      <c r="U21" s="27">
        <v>19</v>
      </c>
      <c r="V21" s="36">
        <v>2.96</v>
      </c>
      <c r="W21" s="36">
        <v>4.74</v>
      </c>
      <c r="X21" s="56"/>
    </row>
    <row r="22" spans="1:24" ht="12.75">
      <c r="A22" s="38">
        <v>20</v>
      </c>
      <c r="B22" s="39">
        <v>2.086</v>
      </c>
      <c r="C22" s="39">
        <v>2.845</v>
      </c>
      <c r="D22" s="40">
        <v>3.85</v>
      </c>
      <c r="F22" s="27">
        <v>20</v>
      </c>
      <c r="G22" s="345">
        <f t="shared" si="0"/>
        <v>2.385275319467334</v>
      </c>
      <c r="H22" s="345">
        <f t="shared" si="1"/>
        <v>2.556585730247856</v>
      </c>
      <c r="I22" s="345">
        <f t="shared" si="2"/>
        <v>2.8838589381379465</v>
      </c>
      <c r="J22" s="24"/>
      <c r="K22" s="38">
        <v>20</v>
      </c>
      <c r="L22" s="41">
        <v>4.35</v>
      </c>
      <c r="M22" s="42">
        <v>3.49</v>
      </c>
      <c r="N22" s="42">
        <v>3.1</v>
      </c>
      <c r="O22" s="42">
        <v>2.87</v>
      </c>
      <c r="P22" s="43">
        <v>1.84</v>
      </c>
      <c r="Q22" s="24"/>
      <c r="R22" s="77">
        <v>20</v>
      </c>
      <c r="S22" s="78">
        <v>1.0406</v>
      </c>
      <c r="T22" s="56"/>
      <c r="U22" s="38">
        <v>20</v>
      </c>
      <c r="V22" s="42">
        <v>2.99</v>
      </c>
      <c r="W22" s="42">
        <v>4.8</v>
      </c>
      <c r="X22" s="56"/>
    </row>
    <row r="23" spans="1:24" ht="12.75">
      <c r="A23" s="27">
        <v>21</v>
      </c>
      <c r="B23" s="28">
        <v>2.08</v>
      </c>
      <c r="C23" s="28">
        <v>2.831</v>
      </c>
      <c r="D23" s="29">
        <v>3.819</v>
      </c>
      <c r="F23" s="27">
        <v>21</v>
      </c>
      <c r="G23" s="345">
        <f t="shared" si="0"/>
        <v>2.407745240270824</v>
      </c>
      <c r="H23" s="345">
        <f t="shared" si="1"/>
        <v>2.580398496643535</v>
      </c>
      <c r="I23" s="345">
        <f t="shared" si="2"/>
        <v>2.912116196630613</v>
      </c>
      <c r="J23" s="24"/>
      <c r="K23" s="27">
        <v>21</v>
      </c>
      <c r="L23" s="36">
        <v>4.32</v>
      </c>
      <c r="M23" s="36">
        <v>3.47</v>
      </c>
      <c r="N23" s="36">
        <v>3.07</v>
      </c>
      <c r="O23" s="36">
        <v>2.84</v>
      </c>
      <c r="P23" s="37">
        <v>1.81</v>
      </c>
      <c r="Q23" s="24"/>
      <c r="R23" s="75">
        <v>21</v>
      </c>
      <c r="S23" s="76">
        <v>1.0601</v>
      </c>
      <c r="T23" s="56"/>
      <c r="U23" s="27">
        <v>25</v>
      </c>
      <c r="V23" s="36">
        <v>3.15</v>
      </c>
      <c r="W23" s="36">
        <v>5.06</v>
      </c>
      <c r="X23" s="56"/>
    </row>
    <row r="24" spans="1:24" ht="12.75">
      <c r="A24" s="27">
        <v>22</v>
      </c>
      <c r="B24" s="28">
        <v>2.074</v>
      </c>
      <c r="C24" s="28">
        <v>2.819</v>
      </c>
      <c r="D24" s="29">
        <v>3.792</v>
      </c>
      <c r="F24" s="27">
        <v>22</v>
      </c>
      <c r="G24" s="345">
        <f t="shared" si="0"/>
        <v>2.4289439874159524</v>
      </c>
      <c r="H24" s="345">
        <f t="shared" si="1"/>
        <v>2.6027889793503642</v>
      </c>
      <c r="I24" s="345">
        <f t="shared" si="2"/>
        <v>2.938496238661549</v>
      </c>
      <c r="J24" s="24"/>
      <c r="K24" s="27">
        <v>22</v>
      </c>
      <c r="L24" s="36">
        <v>4.3</v>
      </c>
      <c r="M24" s="36">
        <v>3.44</v>
      </c>
      <c r="N24" s="36">
        <v>3.05</v>
      </c>
      <c r="O24" s="36">
        <v>2.82</v>
      </c>
      <c r="P24" s="37">
        <v>1.78</v>
      </c>
      <c r="Q24" s="24"/>
      <c r="R24" s="75">
        <v>22</v>
      </c>
      <c r="S24" s="76">
        <v>1.0785</v>
      </c>
      <c r="T24" s="56"/>
      <c r="U24" s="27">
        <v>30</v>
      </c>
      <c r="V24" s="36">
        <v>3.27</v>
      </c>
      <c r="W24" s="36">
        <v>5.26</v>
      </c>
      <c r="X24" s="56"/>
    </row>
    <row r="25" spans="1:24" ht="12.75">
      <c r="A25" s="27">
        <v>23</v>
      </c>
      <c r="B25" s="28">
        <v>2.069</v>
      </c>
      <c r="C25" s="28">
        <v>2.807</v>
      </c>
      <c r="D25" s="29">
        <v>3.767</v>
      </c>
      <c r="F25" s="27">
        <v>23</v>
      </c>
      <c r="G25" s="345">
        <f t="shared" si="0"/>
        <v>2.4490059351502365</v>
      </c>
      <c r="H25" s="345">
        <f t="shared" si="1"/>
        <v>2.623924943614496</v>
      </c>
      <c r="I25" s="345">
        <f t="shared" si="2"/>
        <v>2.9632444607265276</v>
      </c>
      <c r="J25" s="24"/>
      <c r="K25" s="27">
        <v>23</v>
      </c>
      <c r="L25" s="36">
        <v>4.28</v>
      </c>
      <c r="M25" s="36">
        <v>3.42</v>
      </c>
      <c r="N25" s="36">
        <v>3.03</v>
      </c>
      <c r="O25" s="36">
        <v>2.8</v>
      </c>
      <c r="P25" s="37">
        <v>1.76</v>
      </c>
      <c r="Q25" s="24"/>
      <c r="R25" s="75">
        <v>23</v>
      </c>
      <c r="S25" s="76">
        <v>1.0858</v>
      </c>
      <c r="T25" s="56"/>
      <c r="U25" s="27">
        <v>35</v>
      </c>
      <c r="V25" s="36">
        <v>3.38</v>
      </c>
      <c r="W25" s="36">
        <v>5.42</v>
      </c>
      <c r="X25" s="56"/>
    </row>
    <row r="26" spans="1:24" ht="12.75">
      <c r="A26" s="27">
        <v>24</v>
      </c>
      <c r="B26" s="28">
        <v>2.064</v>
      </c>
      <c r="C26" s="28">
        <v>2.797</v>
      </c>
      <c r="D26" s="29">
        <v>3.745</v>
      </c>
      <c r="F26" s="27">
        <v>24</v>
      </c>
      <c r="G26" s="345">
        <f t="shared" si="0"/>
        <v>2.4680385875835595</v>
      </c>
      <c r="H26" s="345">
        <f t="shared" si="1"/>
        <v>2.6439169472604394</v>
      </c>
      <c r="I26" s="345">
        <f t="shared" si="2"/>
        <v>2.9866799079168413</v>
      </c>
      <c r="J26" s="24"/>
      <c r="K26" s="27">
        <v>24</v>
      </c>
      <c r="L26" s="36">
        <v>4.26</v>
      </c>
      <c r="M26" s="36">
        <v>3.4</v>
      </c>
      <c r="N26" s="36">
        <v>3.01</v>
      </c>
      <c r="O26" s="36">
        <v>2.78</v>
      </c>
      <c r="P26" s="37">
        <v>1.73</v>
      </c>
      <c r="Q26" s="24"/>
      <c r="R26" s="75">
        <v>24</v>
      </c>
      <c r="S26" s="76">
        <v>1.1122</v>
      </c>
      <c r="T26" s="56"/>
      <c r="U26" s="27">
        <v>40</v>
      </c>
      <c r="V26" s="36">
        <v>3.47</v>
      </c>
      <c r="W26" s="36">
        <v>5.56</v>
      </c>
      <c r="X26" s="56"/>
    </row>
    <row r="27" spans="1:24" ht="12.75">
      <c r="A27" s="27">
        <v>25</v>
      </c>
      <c r="B27" s="28">
        <v>2.06</v>
      </c>
      <c r="C27" s="28">
        <v>2.787</v>
      </c>
      <c r="D27" s="29">
        <v>3.725</v>
      </c>
      <c r="F27" s="27">
        <v>25</v>
      </c>
      <c r="G27" s="345">
        <f t="shared" si="0"/>
        <v>2.486138677339578</v>
      </c>
      <c r="H27" s="345">
        <f t="shared" si="1"/>
        <v>2.6628851336981065</v>
      </c>
      <c r="I27" s="345">
        <f t="shared" si="2"/>
        <v>3.008672136469418</v>
      </c>
      <c r="J27" s="24"/>
      <c r="K27" s="27">
        <v>25</v>
      </c>
      <c r="L27" s="36">
        <v>4.24</v>
      </c>
      <c r="M27" s="36">
        <v>3.38</v>
      </c>
      <c r="N27" s="36">
        <v>2.99</v>
      </c>
      <c r="O27" s="36">
        <v>2.76</v>
      </c>
      <c r="P27" s="37">
        <v>1.71</v>
      </c>
      <c r="Q27" s="24"/>
      <c r="R27" s="75">
        <v>25</v>
      </c>
      <c r="S27" s="76">
        <v>1.1276</v>
      </c>
      <c r="T27" s="56"/>
      <c r="U27" s="27">
        <v>45</v>
      </c>
      <c r="V27" s="36">
        <v>3.55</v>
      </c>
      <c r="W27" s="36">
        <v>5.67</v>
      </c>
      <c r="X27" s="56"/>
    </row>
    <row r="28" spans="1:24" ht="12.75">
      <c r="A28" s="27">
        <v>26</v>
      </c>
      <c r="B28" s="28">
        <v>2.056</v>
      </c>
      <c r="C28" s="28">
        <v>2.779</v>
      </c>
      <c r="D28" s="29">
        <v>3.707</v>
      </c>
      <c r="F28" s="27">
        <v>26</v>
      </c>
      <c r="G28" s="345">
        <f t="shared" si="0"/>
        <v>2.503385218231327</v>
      </c>
      <c r="H28" s="345">
        <f t="shared" si="1"/>
        <v>2.6808828377638476</v>
      </c>
      <c r="I28" s="345">
        <f t="shared" si="2"/>
        <v>3.029438786943358</v>
      </c>
      <c r="J28" s="24"/>
      <c r="K28" s="27">
        <v>26</v>
      </c>
      <c r="L28" s="36">
        <v>4.22</v>
      </c>
      <c r="M28" s="36">
        <v>3.37</v>
      </c>
      <c r="N28" s="36">
        <v>2.98</v>
      </c>
      <c r="O28" s="36">
        <v>2.74</v>
      </c>
      <c r="P28" s="37">
        <v>1.69</v>
      </c>
      <c r="Q28" s="24"/>
      <c r="R28" s="75">
        <v>26</v>
      </c>
      <c r="S28" s="76">
        <v>1.1426</v>
      </c>
      <c r="T28" s="56"/>
      <c r="U28" s="27">
        <v>50</v>
      </c>
      <c r="V28" s="36">
        <v>3.62</v>
      </c>
      <c r="W28" s="36">
        <v>5.77</v>
      </c>
      <c r="X28" s="56"/>
    </row>
    <row r="29" spans="1:24" ht="12.75">
      <c r="A29" s="27">
        <v>27</v>
      </c>
      <c r="B29" s="28">
        <v>2.052</v>
      </c>
      <c r="C29" s="28">
        <v>2.771</v>
      </c>
      <c r="D29" s="29">
        <v>3.69</v>
      </c>
      <c r="F29" s="27">
        <v>27</v>
      </c>
      <c r="G29" s="345">
        <f t="shared" si="0"/>
        <v>2.5198424085512694</v>
      </c>
      <c r="H29" s="345">
        <f t="shared" si="1"/>
        <v>2.698070503743661</v>
      </c>
      <c r="I29" s="345">
        <f t="shared" si="2"/>
        <v>3.049173802313798</v>
      </c>
      <c r="J29" s="24"/>
      <c r="K29" s="27">
        <v>27</v>
      </c>
      <c r="L29" s="36">
        <v>4.21</v>
      </c>
      <c r="M29" s="36">
        <v>3.35</v>
      </c>
      <c r="N29" s="36">
        <v>2.96</v>
      </c>
      <c r="O29" s="36">
        <v>2.73</v>
      </c>
      <c r="P29" s="37">
        <v>1.67</v>
      </c>
      <c r="Q29" s="24"/>
      <c r="R29" s="75">
        <v>27</v>
      </c>
      <c r="S29" s="76">
        <v>1.1567</v>
      </c>
      <c r="T29" s="56"/>
      <c r="U29" s="27">
        <v>55</v>
      </c>
      <c r="V29" s="36">
        <v>3.69</v>
      </c>
      <c r="W29" s="36">
        <v>5.86</v>
      </c>
      <c r="X29" s="56"/>
    </row>
    <row r="30" spans="1:28" ht="12.75">
      <c r="A30" s="27">
        <v>28</v>
      </c>
      <c r="B30" s="28">
        <v>2.048</v>
      </c>
      <c r="C30" s="28">
        <v>2.763</v>
      </c>
      <c r="D30" s="29">
        <v>3.674</v>
      </c>
      <c r="F30" s="27">
        <v>28</v>
      </c>
      <c r="G30" s="345">
        <f t="shared" si="0"/>
        <v>2.535585768743167</v>
      </c>
      <c r="H30" s="345">
        <f t="shared" si="1"/>
        <v>2.7144645941975676</v>
      </c>
      <c r="I30" s="345">
        <f t="shared" si="2"/>
        <v>3.068050510338262</v>
      </c>
      <c r="J30" s="24"/>
      <c r="K30" s="27">
        <v>28</v>
      </c>
      <c r="L30" s="36">
        <v>4.2</v>
      </c>
      <c r="M30" s="36">
        <v>3.34</v>
      </c>
      <c r="N30" s="36">
        <v>2.95</v>
      </c>
      <c r="O30" s="36">
        <v>2.71</v>
      </c>
      <c r="P30" s="37">
        <v>1.65</v>
      </c>
      <c r="Q30" s="24"/>
      <c r="R30" s="75">
        <v>28</v>
      </c>
      <c r="S30" s="76">
        <v>1.1702</v>
      </c>
      <c r="T30" s="56"/>
      <c r="U30" s="27">
        <v>60</v>
      </c>
      <c r="V30" s="36">
        <v>3.75</v>
      </c>
      <c r="W30" s="36">
        <v>5.94</v>
      </c>
      <c r="X30" s="56"/>
      <c r="Y30" s="67" t="s">
        <v>103</v>
      </c>
      <c r="Z30" s="68"/>
      <c r="AA30" s="68"/>
      <c r="AB30" s="68"/>
    </row>
    <row r="31" spans="1:28" ht="12.75">
      <c r="A31" s="27">
        <v>29</v>
      </c>
      <c r="B31" s="28">
        <v>2.045</v>
      </c>
      <c r="C31" s="28">
        <v>2.756</v>
      </c>
      <c r="D31" s="29">
        <v>3.659</v>
      </c>
      <c r="F31" s="27">
        <v>29</v>
      </c>
      <c r="G31" s="345">
        <f t="shared" si="0"/>
        <v>2.55065736395375</v>
      </c>
      <c r="H31" s="345">
        <f t="shared" si="1"/>
        <v>2.7301087156871993</v>
      </c>
      <c r="I31" s="345">
        <f t="shared" si="2"/>
        <v>3.085920597914467</v>
      </c>
      <c r="J31" s="24"/>
      <c r="K31" s="27">
        <v>29</v>
      </c>
      <c r="L31" s="36">
        <v>4.18</v>
      </c>
      <c r="M31" s="36">
        <v>3.33</v>
      </c>
      <c r="N31" s="36">
        <v>2.93</v>
      </c>
      <c r="O31" s="36">
        <v>2.7</v>
      </c>
      <c r="P31" s="37">
        <v>1.64</v>
      </c>
      <c r="Q31" s="24"/>
      <c r="R31" s="75">
        <v>29</v>
      </c>
      <c r="S31" s="76">
        <v>1.183</v>
      </c>
      <c r="T31" s="56"/>
      <c r="U31" s="27">
        <v>65</v>
      </c>
      <c r="V31" s="36">
        <v>3.8</v>
      </c>
      <c r="W31" s="36">
        <v>6.01</v>
      </c>
      <c r="X31" s="56"/>
      <c r="Y31" s="67" t="s">
        <v>104</v>
      </c>
      <c r="Z31" s="68"/>
      <c r="AA31" s="68"/>
      <c r="AB31" s="68"/>
    </row>
    <row r="32" spans="1:24" ht="12.75">
      <c r="A32" s="38">
        <v>30</v>
      </c>
      <c r="B32" s="39">
        <v>2.042</v>
      </c>
      <c r="C32" s="39">
        <v>2.75</v>
      </c>
      <c r="D32" s="40">
        <v>3.646</v>
      </c>
      <c r="F32" s="27">
        <v>30</v>
      </c>
      <c r="G32" s="345">
        <f t="shared" si="0"/>
        <v>2.5651145475439767</v>
      </c>
      <c r="H32" s="345">
        <f t="shared" si="1"/>
        <v>2.745124798517742</v>
      </c>
      <c r="I32" s="345">
        <f t="shared" si="2"/>
        <v>3.1029051124064226</v>
      </c>
      <c r="J32" s="24"/>
      <c r="K32" s="38">
        <v>30</v>
      </c>
      <c r="L32" s="41">
        <v>4.17</v>
      </c>
      <c r="M32" s="42">
        <v>3.32</v>
      </c>
      <c r="N32" s="42">
        <v>2.92</v>
      </c>
      <c r="O32" s="42">
        <v>2.69</v>
      </c>
      <c r="P32" s="43">
        <v>1.62</v>
      </c>
      <c r="Q32" s="24"/>
      <c r="R32" s="75">
        <v>30</v>
      </c>
      <c r="S32" s="76">
        <v>1.1951</v>
      </c>
      <c r="T32" s="56"/>
      <c r="U32" s="27">
        <v>70</v>
      </c>
      <c r="V32" s="36">
        <v>3.85</v>
      </c>
      <c r="W32" s="36">
        <v>6.07</v>
      </c>
      <c r="X32" s="56"/>
    </row>
    <row r="33" spans="1:24" ht="12.75">
      <c r="A33" s="44" t="s">
        <v>3</v>
      </c>
      <c r="B33" s="39">
        <v>1.96</v>
      </c>
      <c r="C33" s="39">
        <v>2.576</v>
      </c>
      <c r="D33" s="40">
        <v>3.291</v>
      </c>
      <c r="F33" s="27">
        <v>31</v>
      </c>
      <c r="G33" s="345">
        <f t="shared" si="0"/>
        <v>2.579007968669776</v>
      </c>
      <c r="H33" s="345">
        <f t="shared" si="1"/>
        <v>2.759536410924955</v>
      </c>
      <c r="I33" s="345">
        <f t="shared" si="2"/>
        <v>3.1191130031044283</v>
      </c>
      <c r="J33" s="69"/>
      <c r="K33" s="44" t="s">
        <v>3</v>
      </c>
      <c r="L33" s="42">
        <v>3.84</v>
      </c>
      <c r="M33" s="42">
        <v>2.99</v>
      </c>
      <c r="N33" s="42">
        <v>2.6</v>
      </c>
      <c r="O33" s="42">
        <v>2.37</v>
      </c>
      <c r="P33" s="43">
        <v>1</v>
      </c>
      <c r="Q33" s="24"/>
      <c r="R33" s="75">
        <v>31</v>
      </c>
      <c r="S33" s="76">
        <v>1.2067</v>
      </c>
      <c r="T33" s="69"/>
      <c r="U33" s="27">
        <v>75</v>
      </c>
      <c r="V33" s="36">
        <v>3.9</v>
      </c>
      <c r="W33" s="36">
        <v>6.13</v>
      </c>
      <c r="X33" s="56"/>
    </row>
    <row r="34" spans="6:24" ht="12.75">
      <c r="F34" s="27">
        <v>32</v>
      </c>
      <c r="G34" s="345">
        <f t="shared" si="0"/>
        <v>2.592382526480311</v>
      </c>
      <c r="H34" s="345">
        <f aca="true" t="shared" si="3" ref="H34:H97">(F34-1)/SQRT(F34)*SQRT(TINV(0.05/(F34/2),F34-2)^2/(F34-2+TINV(0.05/(F34/2),F34-2)^2))</f>
        <v>2.7733572530644306</v>
      </c>
      <c r="I34" s="345">
        <f aca="true" t="shared" si="4" ref="I34:I97">(F34-1)/SQRT(F34)*SQRT(TINV(0.01/(F34/2),F34-2)^2/(F34-2+TINV(0.01/(F34/2),F34-2)^2))</f>
        <v>3.134803285068284</v>
      </c>
      <c r="R34" s="75">
        <v>32</v>
      </c>
      <c r="S34" s="76">
        <v>1.2177</v>
      </c>
      <c r="U34" s="27">
        <v>80</v>
      </c>
      <c r="V34" s="36">
        <v>3.94</v>
      </c>
      <c r="W34" s="36">
        <v>6.18</v>
      </c>
      <c r="X34" s="56"/>
    </row>
    <row r="35" spans="1:24" ht="12.75">
      <c r="A35" s="19"/>
      <c r="B35" s="19"/>
      <c r="C35" s="19"/>
      <c r="D35" s="19"/>
      <c r="F35" s="27">
        <v>33</v>
      </c>
      <c r="G35" s="345">
        <f t="shared" si="0"/>
        <v>2.6052530309696826</v>
      </c>
      <c r="H35" s="345">
        <f t="shared" si="3"/>
        <v>2.786639687840328</v>
      </c>
      <c r="I35" s="345">
        <f t="shared" si="4"/>
        <v>3.149746216826167</v>
      </c>
      <c r="K35" s="19"/>
      <c r="L35" s="19"/>
      <c r="M35" s="19"/>
      <c r="N35" s="19"/>
      <c r="O35" s="19"/>
      <c r="P35" s="19"/>
      <c r="R35" s="75">
        <v>33</v>
      </c>
      <c r="S35" s="76">
        <v>1.2283</v>
      </c>
      <c r="U35" s="27">
        <v>85</v>
      </c>
      <c r="V35" s="36">
        <v>3.99</v>
      </c>
      <c r="W35" s="36">
        <v>6.23</v>
      </c>
      <c r="X35" s="56"/>
    </row>
    <row r="36" spans="6:24" ht="12.75">
      <c r="F36" s="27">
        <v>34</v>
      </c>
      <c r="G36" s="345">
        <f t="shared" si="0"/>
        <v>2.6176798110271964</v>
      </c>
      <c r="H36" s="345">
        <f t="shared" si="3"/>
        <v>2.7994306681286525</v>
      </c>
      <c r="I36" s="345">
        <f t="shared" si="4"/>
        <v>3.1640143820418767</v>
      </c>
      <c r="R36" s="75">
        <v>34</v>
      </c>
      <c r="S36" s="76">
        <v>1.2385</v>
      </c>
      <c r="U36" s="27">
        <v>90</v>
      </c>
      <c r="V36" s="36">
        <v>4.02</v>
      </c>
      <c r="W36" s="36">
        <v>6.27</v>
      </c>
      <c r="X36" s="56"/>
    </row>
    <row r="37" spans="6:24" ht="12.75">
      <c r="F37" s="27">
        <v>35</v>
      </c>
      <c r="G37" s="345">
        <f t="shared" si="0"/>
        <v>2.629669241942543</v>
      </c>
      <c r="H37" s="345">
        <f t="shared" si="3"/>
        <v>2.81177242036649</v>
      </c>
      <c r="I37" s="345">
        <f t="shared" si="4"/>
        <v>3.1778421252856996</v>
      </c>
      <c r="L37" s="90">
        <f>IF(L38=2,90,IF(L38=3,95,IF(L38=4,99,99)))</f>
        <v>99</v>
      </c>
      <c r="M37" s="93" t="s">
        <v>50</v>
      </c>
      <c r="R37" s="75">
        <v>35</v>
      </c>
      <c r="S37" s="76">
        <v>1.2485</v>
      </c>
      <c r="U37" s="27">
        <v>95</v>
      </c>
      <c r="V37" s="36">
        <v>4.06</v>
      </c>
      <c r="W37" s="36">
        <v>6.32</v>
      </c>
      <c r="X37" s="56"/>
    </row>
    <row r="38" spans="6:24" ht="12.75">
      <c r="F38" s="27">
        <v>36</v>
      </c>
      <c r="G38" s="345">
        <f t="shared" si="0"/>
        <v>2.641249398713337</v>
      </c>
      <c r="H38" s="345">
        <f t="shared" si="3"/>
        <v>2.823703026609341</v>
      </c>
      <c r="I38" s="345">
        <f t="shared" si="4"/>
        <v>3.1909549561714865</v>
      </c>
      <c r="L38" s="91">
        <f>IF('Statistik für Mehrfachbest.'!S10=90,2,IF('Statistik für Mehrfachbest.'!S10=95,3,IF('Statistik für Mehrfachbest.'!S10=99,4,IF('Statistik für Mehrfachbest.'!S10&lt;90,2,IF('Statistik für Mehrfachbest.'!S10&gt;99,4,3)))))</f>
        <v>4</v>
      </c>
      <c r="M38" s="93" t="s">
        <v>51</v>
      </c>
      <c r="R38" s="75">
        <v>36</v>
      </c>
      <c r="S38" s="76">
        <v>1.2581</v>
      </c>
      <c r="U38" s="38">
        <v>100</v>
      </c>
      <c r="V38" s="42">
        <v>4.1</v>
      </c>
      <c r="W38" s="42">
        <v>6.36</v>
      </c>
      <c r="X38" s="56"/>
    </row>
    <row r="39" spans="6:24" ht="12.75">
      <c r="F39" s="27">
        <v>37</v>
      </c>
      <c r="G39" s="345">
        <f t="shared" si="0"/>
        <v>2.6524715608665517</v>
      </c>
      <c r="H39" s="345">
        <f t="shared" si="3"/>
        <v>2.8352076933418964</v>
      </c>
      <c r="I39" s="345">
        <f t="shared" si="4"/>
        <v>3.203919700768658</v>
      </c>
      <c r="L39" s="92" t="s">
        <v>53</v>
      </c>
      <c r="R39" s="75">
        <v>37</v>
      </c>
      <c r="S39" s="76">
        <v>1.2673</v>
      </c>
      <c r="U39" s="64">
        <v>150</v>
      </c>
      <c r="V39" s="65">
        <v>4.38</v>
      </c>
      <c r="W39" s="65">
        <v>6.64</v>
      </c>
      <c r="X39" s="56"/>
    </row>
    <row r="40" spans="6:24" ht="12.75">
      <c r="F40" s="27">
        <v>38</v>
      </c>
      <c r="G40" s="345">
        <f t="shared" si="0"/>
        <v>2.663332941079205</v>
      </c>
      <c r="H40" s="345">
        <f t="shared" si="3"/>
        <v>2.846316313654244</v>
      </c>
      <c r="I40" s="345">
        <f t="shared" si="4"/>
        <v>3.216098494280894</v>
      </c>
      <c r="L40" s="1" t="s">
        <v>61</v>
      </c>
      <c r="R40" s="75">
        <v>38</v>
      </c>
      <c r="S40" s="76">
        <v>1.2763</v>
      </c>
      <c r="U40" s="27">
        <v>200</v>
      </c>
      <c r="V40" s="66">
        <v>4.59</v>
      </c>
      <c r="W40" s="12">
        <v>6.84</v>
      </c>
      <c r="X40" s="56"/>
    </row>
    <row r="41" spans="6:24" ht="12.75">
      <c r="F41" s="27">
        <v>39</v>
      </c>
      <c r="G41" s="345">
        <f t="shared" si="0"/>
        <v>2.673827798528492</v>
      </c>
      <c r="H41" s="345">
        <f t="shared" si="3"/>
        <v>2.857106133420862</v>
      </c>
      <c r="I41" s="345">
        <f t="shared" si="4"/>
        <v>3.2280560899897774</v>
      </c>
      <c r="R41" s="75">
        <v>39</v>
      </c>
      <c r="S41" s="76">
        <v>1.285</v>
      </c>
      <c r="U41" s="64">
        <v>500</v>
      </c>
      <c r="V41" s="1">
        <v>5.13</v>
      </c>
      <c r="W41" s="14">
        <v>7.42</v>
      </c>
      <c r="X41" s="56"/>
    </row>
    <row r="42" spans="6:24" ht="12.75">
      <c r="F42" s="27">
        <v>40</v>
      </c>
      <c r="G42" s="345">
        <f t="shared" si="0"/>
        <v>2.684053993791079</v>
      </c>
      <c r="H42" s="345">
        <f t="shared" si="3"/>
        <v>2.867552589076732</v>
      </c>
      <c r="I42" s="345">
        <f t="shared" si="4"/>
        <v>3.239481879301052</v>
      </c>
      <c r="R42" s="75">
        <v>40</v>
      </c>
      <c r="S42" s="76">
        <v>1.2934</v>
      </c>
      <c r="X42" s="56"/>
    </row>
    <row r="43" spans="6:24" ht="12.75">
      <c r="F43" s="27">
        <v>41</v>
      </c>
      <c r="G43" s="345">
        <f t="shared" si="0"/>
        <v>2.6939494232087142</v>
      </c>
      <c r="H43" s="345">
        <f t="shared" si="3"/>
        <v>2.8776781844548314</v>
      </c>
      <c r="I43" s="345">
        <f t="shared" si="4"/>
        <v>3.250589766434355</v>
      </c>
      <c r="R43" s="75">
        <v>41</v>
      </c>
      <c r="S43" s="76">
        <v>1.3017</v>
      </c>
      <c r="U43" s="19"/>
      <c r="V43" s="19"/>
      <c r="W43" s="19"/>
      <c r="X43" s="56"/>
    </row>
    <row r="44" spans="6:24" ht="12.75">
      <c r="F44" s="27">
        <v>42</v>
      </c>
      <c r="G44" s="345">
        <f t="shared" si="0"/>
        <v>2.7035559883970004</v>
      </c>
      <c r="H44" s="345">
        <f t="shared" si="3"/>
        <v>2.8875034935762582</v>
      </c>
      <c r="I44" s="345">
        <f t="shared" si="4"/>
        <v>3.261415352102718</v>
      </c>
      <c r="R44" s="75">
        <v>42</v>
      </c>
      <c r="S44" s="76">
        <v>1.3096</v>
      </c>
      <c r="X44" s="56"/>
    </row>
    <row r="45" spans="6:24" ht="12.75">
      <c r="F45" s="27">
        <v>43</v>
      </c>
      <c r="G45" s="345">
        <f t="shared" si="0"/>
        <v>2.7129149189282185</v>
      </c>
      <c r="H45" s="345">
        <f t="shared" si="3"/>
        <v>2.897047363709113</v>
      </c>
      <c r="I45" s="345">
        <f t="shared" si="4"/>
        <v>3.2716215380036893</v>
      </c>
      <c r="R45" s="75">
        <v>43</v>
      </c>
      <c r="S45" s="76">
        <v>1.3172</v>
      </c>
      <c r="X45" s="56"/>
    </row>
    <row r="46" spans="6:24" ht="12.75">
      <c r="F46" s="27">
        <v>44</v>
      </c>
      <c r="G46" s="345">
        <f t="shared" si="0"/>
        <v>2.72201244674465</v>
      </c>
      <c r="H46" s="345">
        <f t="shared" si="3"/>
        <v>2.9062751143066134</v>
      </c>
      <c r="I46" s="345">
        <f t="shared" si="4"/>
        <v>3.281788357795807</v>
      </c>
      <c r="R46" s="75">
        <v>44</v>
      </c>
      <c r="S46" s="76">
        <v>1.3246</v>
      </c>
      <c r="X46" s="56"/>
    </row>
    <row r="47" spans="6:24" ht="12.75">
      <c r="F47" s="27">
        <v>45</v>
      </c>
      <c r="G47" s="345">
        <f t="shared" si="0"/>
        <v>2.7308604552730698</v>
      </c>
      <c r="H47" s="345">
        <f t="shared" si="3"/>
        <v>2.9153062729182198</v>
      </c>
      <c r="I47" s="345">
        <f t="shared" si="4"/>
        <v>3.2915725044340998</v>
      </c>
      <c r="R47" s="75">
        <v>45</v>
      </c>
      <c r="S47" s="76">
        <v>1.3317</v>
      </c>
      <c r="X47" s="56"/>
    </row>
    <row r="48" spans="6:24" ht="12.75">
      <c r="F48" s="27">
        <v>46</v>
      </c>
      <c r="G48" s="345">
        <f t="shared" si="0"/>
        <v>2.739497353386929</v>
      </c>
      <c r="H48" s="345">
        <f t="shared" si="3"/>
        <v>2.924103859556108</v>
      </c>
      <c r="I48" s="345">
        <f t="shared" si="4"/>
        <v>3.3011853070731174</v>
      </c>
      <c r="R48" s="75">
        <v>46</v>
      </c>
      <c r="S48" s="76">
        <v>1.3387</v>
      </c>
      <c r="X48" s="56"/>
    </row>
    <row r="49" spans="6:24" ht="12.75">
      <c r="F49" s="27">
        <v>47</v>
      </c>
      <c r="G49" s="345">
        <f t="shared" si="0"/>
        <v>2.7479059694030283</v>
      </c>
      <c r="H49" s="345">
        <f t="shared" si="3"/>
        <v>2.932628438257682</v>
      </c>
      <c r="I49" s="345">
        <f t="shared" si="4"/>
        <v>3.3104596505465906</v>
      </c>
      <c r="R49" s="75">
        <v>47</v>
      </c>
      <c r="S49" s="76">
        <v>1.3453</v>
      </c>
      <c r="X49" s="56"/>
    </row>
    <row r="50" spans="6:24" ht="12.75">
      <c r="F50" s="27">
        <v>48</v>
      </c>
      <c r="G50" s="345">
        <f t="shared" si="0"/>
        <v>2.756095550277253</v>
      </c>
      <c r="H50" s="345">
        <f t="shared" si="3"/>
        <v>2.9409448483675837</v>
      </c>
      <c r="I50" s="345">
        <f t="shared" si="4"/>
        <v>3.3192206279508087</v>
      </c>
      <c r="R50" s="75">
        <v>48</v>
      </c>
      <c r="S50" s="76">
        <v>1.3515</v>
      </c>
      <c r="X50" s="56"/>
    </row>
    <row r="51" spans="6:24" ht="12.75">
      <c r="F51" s="27">
        <v>49</v>
      </c>
      <c r="G51" s="345">
        <f t="shared" si="0"/>
        <v>2.764102523153988</v>
      </c>
      <c r="H51" s="345">
        <f t="shared" si="3"/>
        <v>2.9490646820947353</v>
      </c>
      <c r="I51" s="345">
        <f t="shared" si="4"/>
        <v>3.3280644311914114</v>
      </c>
      <c r="R51" s="75">
        <v>49</v>
      </c>
      <c r="S51" s="76">
        <v>1.3573</v>
      </c>
      <c r="X51" s="56"/>
    </row>
    <row r="52" spans="6:24" ht="12.75">
      <c r="F52" s="27">
        <v>50</v>
      </c>
      <c r="G52" s="345">
        <f t="shared" si="0"/>
        <v>2.7719071410776968</v>
      </c>
      <c r="H52" s="345">
        <f t="shared" si="3"/>
        <v>2.956998684892073</v>
      </c>
      <c r="I52" s="345">
        <f t="shared" si="4"/>
        <v>3.336623487193554</v>
      </c>
      <c r="R52" s="75">
        <v>50</v>
      </c>
      <c r="S52" s="76">
        <v>1.3629</v>
      </c>
      <c r="X52" s="56"/>
    </row>
    <row r="53" spans="6:24" ht="12.75">
      <c r="F53" s="27">
        <v>51</v>
      </c>
      <c r="G53" s="345">
        <f t="shared" si="0"/>
        <v>2.7795448368156843</v>
      </c>
      <c r="H53" s="345">
        <f t="shared" si="3"/>
        <v>2.9647027253209153</v>
      </c>
      <c r="I53" s="345">
        <f t="shared" si="4"/>
        <v>3.3449123241331176</v>
      </c>
      <c r="R53" s="75">
        <v>51</v>
      </c>
      <c r="S53" s="76">
        <v>1.3683</v>
      </c>
      <c r="X53" s="56"/>
    </row>
    <row r="54" spans="6:19" ht="12.75">
      <c r="F54" s="27">
        <v>52</v>
      </c>
      <c r="G54" s="345">
        <f t="shared" si="0"/>
        <v>2.7869662296902797</v>
      </c>
      <c r="H54" s="345">
        <f t="shared" si="3"/>
        <v>2.9722396509208613</v>
      </c>
      <c r="I54" s="345">
        <f t="shared" si="4"/>
        <v>3.3529444943321844</v>
      </c>
      <c r="R54" s="75">
        <v>52</v>
      </c>
      <c r="S54" s="76">
        <v>1.3738</v>
      </c>
    </row>
    <row r="55" spans="6:19" ht="12.75">
      <c r="F55" s="27">
        <v>53</v>
      </c>
      <c r="G55" s="345">
        <f t="shared" si="0"/>
        <v>2.7942623439100633</v>
      </c>
      <c r="H55" s="345">
        <f t="shared" si="3"/>
        <v>2.979618117121191</v>
      </c>
      <c r="I55" s="345">
        <f t="shared" si="4"/>
        <v>3.36073265517766</v>
      </c>
      <c r="R55" s="75">
        <v>53</v>
      </c>
      <c r="S55" s="76">
        <v>1.3792</v>
      </c>
    </row>
    <row r="56" spans="6:19" ht="12.75">
      <c r="F56" s="27">
        <v>54</v>
      </c>
      <c r="G56" s="345">
        <f t="shared" si="0"/>
        <v>2.801382738565915</v>
      </c>
      <c r="H56" s="345">
        <f t="shared" si="3"/>
        <v>2.9868461907065544</v>
      </c>
      <c r="I56" s="345">
        <f t="shared" si="4"/>
        <v>3.368691137091921</v>
      </c>
      <c r="R56" s="75">
        <v>54</v>
      </c>
      <c r="S56" s="76">
        <v>1.3846</v>
      </c>
    </row>
    <row r="57" spans="6:19" ht="12.75">
      <c r="F57" s="27">
        <v>55</v>
      </c>
      <c r="G57" s="345">
        <f t="shared" si="0"/>
        <v>2.808332837764695</v>
      </c>
      <c r="H57" s="345">
        <f t="shared" si="3"/>
        <v>2.993876278229576</v>
      </c>
      <c r="I57" s="345">
        <f t="shared" si="4"/>
        <v>3.3760284845037125</v>
      </c>
      <c r="R57" s="75">
        <v>55</v>
      </c>
      <c r="S57" s="76">
        <v>1.3899</v>
      </c>
    </row>
    <row r="58" spans="6:19" ht="12.75">
      <c r="F58" s="27">
        <v>56</v>
      </c>
      <c r="G58" s="345">
        <f t="shared" si="0"/>
        <v>2.81517505739524</v>
      </c>
      <c r="H58" s="345">
        <f t="shared" si="3"/>
        <v>3.0007700636053607</v>
      </c>
      <c r="I58" s="345">
        <f t="shared" si="4"/>
        <v>3.3835623515231643</v>
      </c>
      <c r="R58" s="75">
        <v>56</v>
      </c>
      <c r="S58" s="76">
        <v>1.3949</v>
      </c>
    </row>
    <row r="59" spans="6:19" ht="12.75">
      <c r="F59" s="27">
        <v>57</v>
      </c>
      <c r="G59" s="345">
        <f t="shared" si="0"/>
        <v>2.8218571566874897</v>
      </c>
      <c r="H59" s="345">
        <f t="shared" si="3"/>
        <v>3.007478560799643</v>
      </c>
      <c r="I59" s="345">
        <f t="shared" si="4"/>
        <v>3.390490208348284</v>
      </c>
      <c r="R59" s="75">
        <v>57</v>
      </c>
      <c r="S59" s="76">
        <v>1.3999</v>
      </c>
    </row>
    <row r="60" spans="6:19" ht="12.75">
      <c r="F60" s="27">
        <v>58</v>
      </c>
      <c r="G60" s="345">
        <f t="shared" si="0"/>
        <v>2.828383528546174</v>
      </c>
      <c r="H60" s="345">
        <f t="shared" si="3"/>
        <v>3.0140630897011076</v>
      </c>
      <c r="I60" s="345">
        <f t="shared" si="4"/>
        <v>3.397637962732298</v>
      </c>
      <c r="R60" s="75">
        <v>58</v>
      </c>
      <c r="S60" s="76">
        <v>1.4048</v>
      </c>
    </row>
    <row r="61" spans="6:19" ht="12.75">
      <c r="F61" s="27">
        <v>59</v>
      </c>
      <c r="G61" s="345">
        <f t="shared" si="0"/>
        <v>2.8348162234210763</v>
      </c>
      <c r="H61" s="345">
        <f t="shared" si="3"/>
        <v>3.0205294612395646</v>
      </c>
      <c r="I61" s="345">
        <f t="shared" si="4"/>
        <v>3.4041927306700335</v>
      </c>
      <c r="R61" s="75">
        <v>59</v>
      </c>
      <c r="S61" s="76">
        <v>1.4096</v>
      </c>
    </row>
    <row r="62" spans="6:19" ht="12.75">
      <c r="F62" s="27">
        <v>60</v>
      </c>
      <c r="G62" s="345">
        <f t="shared" si="0"/>
        <v>2.84110151458977</v>
      </c>
      <c r="H62" s="345">
        <f t="shared" si="3"/>
        <v>3.0268831282027766</v>
      </c>
      <c r="I62" s="345">
        <f t="shared" si="4"/>
        <v>3.4109883477406515</v>
      </c>
      <c r="R62" s="77">
        <v>60</v>
      </c>
      <c r="S62" s="78">
        <v>1.4144</v>
      </c>
    </row>
    <row r="63" spans="6:19" ht="12.75">
      <c r="F63" s="27">
        <v>61</v>
      </c>
      <c r="G63" s="345">
        <f t="shared" si="0"/>
        <v>2.847242994171294</v>
      </c>
      <c r="H63" s="345">
        <f t="shared" si="3"/>
        <v>3.033072776759353</v>
      </c>
      <c r="I63" s="345">
        <f t="shared" si="4"/>
        <v>3.4176204289788457</v>
      </c>
      <c r="R63" s="98">
        <v>70</v>
      </c>
      <c r="S63" s="101">
        <f>SLOPE(S$6:S$62,R$6:R$62)*R63+INTERCEPT(S$6:S$62,R$6:R$62)</f>
        <v>1.676742485524157</v>
      </c>
    </row>
    <row r="64" spans="6:19" ht="12.75">
      <c r="F64" s="27">
        <v>62</v>
      </c>
      <c r="G64" s="345">
        <f t="shared" si="0"/>
        <v>2.853302509181376</v>
      </c>
      <c r="H64" s="345">
        <f t="shared" si="3"/>
        <v>3.039159261830593</v>
      </c>
      <c r="I64" s="345">
        <f t="shared" si="4"/>
        <v>3.424096005574462</v>
      </c>
      <c r="R64" s="75">
        <v>80</v>
      </c>
      <c r="S64" s="99">
        <f>SLOPE(S$6:S$62,R$6:R$62)*R64+INTERCEPT(S$6:S$62,R$6:R$62)</f>
        <v>1.8186728718347616</v>
      </c>
    </row>
    <row r="65" spans="6:19" ht="12.75">
      <c r="F65" s="27">
        <v>63</v>
      </c>
      <c r="G65" s="345">
        <f t="shared" si="0"/>
        <v>2.859225086796599</v>
      </c>
      <c r="H65" s="345">
        <f t="shared" si="3"/>
        <v>3.0451471317208716</v>
      </c>
      <c r="I65" s="345">
        <f t="shared" si="4"/>
        <v>3.43042171024497</v>
      </c>
      <c r="R65" s="75">
        <v>90</v>
      </c>
      <c r="S65" s="99">
        <f>SLOPE(S$6:S$62,R$6:R$62)*R65+INTERCEPT(S$6:S$62,R$6:R$62)</f>
        <v>1.9606032581453663</v>
      </c>
    </row>
    <row r="66" spans="6:19" ht="12.75">
      <c r="F66" s="27">
        <v>64</v>
      </c>
      <c r="G66" s="345">
        <f t="shared" si="0"/>
        <v>2.8650725000763426</v>
      </c>
      <c r="H66" s="345">
        <f t="shared" si="3"/>
        <v>3.0509266387563656</v>
      </c>
      <c r="I66" s="345">
        <f t="shared" si="4"/>
        <v>3.4366038051457255</v>
      </c>
      <c r="R66" s="77">
        <v>100</v>
      </c>
      <c r="S66" s="100">
        <f>SLOPE(S$6:S$62,R$6:R$62)*R66+INTERCEPT(S$6:S$62,R$6:R$62)</f>
        <v>2.1025336444559706</v>
      </c>
    </row>
    <row r="67" spans="6:9" ht="12.75">
      <c r="F67" s="27">
        <v>65</v>
      </c>
      <c r="G67" s="345">
        <f t="shared" si="0"/>
        <v>2.8707890476764173</v>
      </c>
      <c r="H67" s="345">
        <f t="shared" si="3"/>
        <v>3.056729520794288</v>
      </c>
      <c r="I67" s="345">
        <f t="shared" si="4"/>
        <v>3.442648207460336</v>
      </c>
    </row>
    <row r="68" spans="6:19" ht="12.75">
      <c r="F68" s="27">
        <v>66</v>
      </c>
      <c r="G68" s="345">
        <f t="shared" si="0"/>
        <v>2.876377343017861</v>
      </c>
      <c r="H68" s="345">
        <f t="shared" si="3"/>
        <v>3.0623311765147707</v>
      </c>
      <c r="I68" s="345">
        <f t="shared" si="4"/>
        <v>3.4485605128936587</v>
      </c>
      <c r="R68" s="19"/>
      <c r="S68" s="19"/>
    </row>
    <row r="69" spans="6:9" ht="12.75">
      <c r="F69" s="27">
        <v>67</v>
      </c>
      <c r="G69" s="345">
        <f t="shared" si="0"/>
        <v>2.881899128899465</v>
      </c>
      <c r="H69" s="345">
        <f t="shared" si="3"/>
        <v>3.0678492656439973</v>
      </c>
      <c r="I69" s="345">
        <f t="shared" si="4"/>
        <v>3.4543460172657867</v>
      </c>
    </row>
    <row r="70" spans="6:9" ht="12.75">
      <c r="F70" s="27">
        <v>68</v>
      </c>
      <c r="G70" s="345">
        <f aca="true" t="shared" si="5" ref="G70:G102">(F70-1)/SQRT(F70)*SQRT(TINV(0.1/(F70/2),F70-2)^2/(F70-2+TINV(0.1/(F70/2),F70-2)^2))</f>
        <v>2.8873571753155574</v>
      </c>
      <c r="H70" s="345">
        <f t="shared" si="3"/>
        <v>3.073287217064199</v>
      </c>
      <c r="I70" s="345">
        <f t="shared" si="4"/>
        <v>3.4600097363841913</v>
      </c>
    </row>
    <row r="71" spans="6:9" ht="12.75">
      <c r="F71" s="27">
        <v>69</v>
      </c>
      <c r="G71" s="345">
        <f t="shared" si="5"/>
        <v>2.892634954048088</v>
      </c>
      <c r="H71" s="345">
        <f t="shared" si="3"/>
        <v>3.0786482743639456</v>
      </c>
      <c r="I71" s="345">
        <f t="shared" si="4"/>
        <v>3.4655564243524997</v>
      </c>
    </row>
    <row r="72" spans="6:9" ht="12.75">
      <c r="F72" s="27">
        <v>70</v>
      </c>
      <c r="G72" s="345">
        <f t="shared" si="5"/>
        <v>2.8979132376335803</v>
      </c>
      <c r="H72" s="345">
        <f t="shared" si="3"/>
        <v>3.0839355082006965</v>
      </c>
      <c r="I72" s="345">
        <f t="shared" si="4"/>
        <v>3.4709905904578893</v>
      </c>
    </row>
    <row r="73" spans="6:9" ht="12.75">
      <c r="F73" s="27">
        <v>71</v>
      </c>
      <c r="G73" s="345">
        <f t="shared" si="5"/>
        <v>2.903075099534393</v>
      </c>
      <c r="H73" s="345">
        <f t="shared" si="3"/>
        <v>3.089035409145042</v>
      </c>
      <c r="I73" s="345">
        <f t="shared" si="4"/>
        <v>3.4763165147644832</v>
      </c>
    </row>
    <row r="74" spans="6:9" ht="12.75">
      <c r="F74" s="27">
        <v>72</v>
      </c>
      <c r="G74" s="345">
        <f t="shared" si="5"/>
        <v>2.9081223660671474</v>
      </c>
      <c r="H74" s="345">
        <f t="shared" si="3"/>
        <v>3.0941832645443372</v>
      </c>
      <c r="I74" s="345">
        <f t="shared" si="4"/>
        <v>3.4815382625272453</v>
      </c>
    </row>
    <row r="75" spans="6:9" ht="12.75">
      <c r="F75" s="27">
        <v>73</v>
      </c>
      <c r="G75" s="345">
        <f t="shared" si="5"/>
        <v>2.9131168871778343</v>
      </c>
      <c r="H75" s="345">
        <f t="shared" si="3"/>
        <v>3.099148558932131</v>
      </c>
      <c r="I75" s="345">
        <f t="shared" si="4"/>
        <v>3.4866596975293906</v>
      </c>
    </row>
    <row r="76" spans="6:9" ht="12.75">
      <c r="F76" s="27">
        <v>74</v>
      </c>
      <c r="G76" s="345">
        <f t="shared" si="5"/>
        <v>2.918000438644005</v>
      </c>
      <c r="H76" s="345">
        <f t="shared" si="3"/>
        <v>3.1040502165840604</v>
      </c>
      <c r="I76" s="345">
        <f t="shared" si="4"/>
        <v>3.4921252225476795</v>
      </c>
    </row>
    <row r="77" spans="6:9" ht="12.75">
      <c r="F77" s="27">
        <v>75</v>
      </c>
      <c r="G77" s="345">
        <f t="shared" si="5"/>
        <v>2.9228349415787465</v>
      </c>
      <c r="H77" s="345">
        <f t="shared" si="3"/>
        <v>3.108890618102695</v>
      </c>
      <c r="I77" s="345">
        <f t="shared" si="4"/>
        <v>3.4970583475931045</v>
      </c>
    </row>
    <row r="78" spans="6:9" ht="12.75">
      <c r="F78" s="27">
        <v>76</v>
      </c>
      <c r="G78" s="345">
        <f t="shared" si="5"/>
        <v>2.9276222319980527</v>
      </c>
      <c r="H78" s="345">
        <f t="shared" si="3"/>
        <v>3.1136720266799354</v>
      </c>
      <c r="I78" s="345">
        <f t="shared" si="4"/>
        <v>3.5019016296529855</v>
      </c>
    </row>
    <row r="79" spans="6:9" ht="12.75">
      <c r="F79" s="27">
        <v>77</v>
      </c>
      <c r="G79" s="345">
        <f t="shared" si="5"/>
        <v>2.9323034352321606</v>
      </c>
      <c r="H79" s="345">
        <f t="shared" si="3"/>
        <v>3.118278423773992</v>
      </c>
      <c r="I79" s="345">
        <f t="shared" si="4"/>
        <v>3.5066582425541912</v>
      </c>
    </row>
    <row r="80" spans="6:9" ht="12.75">
      <c r="F80" s="27">
        <v>78</v>
      </c>
      <c r="G80" s="345">
        <f t="shared" si="5"/>
        <v>2.9368798576718818</v>
      </c>
      <c r="H80" s="345">
        <f t="shared" si="3"/>
        <v>3.122947932658074</v>
      </c>
      <c r="I80" s="345">
        <f t="shared" si="4"/>
        <v>3.5113312121010827</v>
      </c>
    </row>
    <row r="81" spans="6:9" ht="12.75">
      <c r="F81" s="27">
        <v>79</v>
      </c>
      <c r="G81" s="345">
        <f t="shared" si="5"/>
        <v>2.9414744496328575</v>
      </c>
      <c r="H81" s="345">
        <f t="shared" si="3"/>
        <v>3.127445903320554</v>
      </c>
      <c r="I81" s="345">
        <f t="shared" si="4"/>
        <v>3.515923424620981</v>
      </c>
    </row>
    <row r="82" spans="6:9" ht="12.75">
      <c r="F82" s="27">
        <v>80</v>
      </c>
      <c r="G82" s="345">
        <f t="shared" si="5"/>
        <v>2.945906169068899</v>
      </c>
      <c r="H82" s="345">
        <f t="shared" si="3"/>
        <v>3.131892384920463</v>
      </c>
      <c r="I82" s="345">
        <f t="shared" si="4"/>
        <v>3.5208866878735234</v>
      </c>
    </row>
    <row r="83" spans="6:9" ht="12.75">
      <c r="F83" s="27">
        <v>81</v>
      </c>
      <c r="G83" s="345">
        <f t="shared" si="5"/>
        <v>2.95035902816115</v>
      </c>
      <c r="H83" s="345">
        <f t="shared" si="3"/>
        <v>3.136289167982382</v>
      </c>
      <c r="I83" s="345">
        <f t="shared" si="4"/>
        <v>3.525326819476395</v>
      </c>
    </row>
    <row r="84" spans="6:9" ht="12.75">
      <c r="F84" s="27">
        <v>82</v>
      </c>
      <c r="G84" s="345">
        <f t="shared" si="5"/>
        <v>2.9547123680889804</v>
      </c>
      <c r="H84" s="345">
        <f t="shared" si="3"/>
        <v>3.1406379608786827</v>
      </c>
      <c r="I84" s="345">
        <f t="shared" si="4"/>
        <v>3.529694066764805</v>
      </c>
    </row>
    <row r="85" spans="6:9" ht="12.75">
      <c r="F85" s="27">
        <v>83</v>
      </c>
      <c r="G85" s="345">
        <f t="shared" si="5"/>
        <v>2.9589671888210938</v>
      </c>
      <c r="H85" s="345">
        <f t="shared" si="3"/>
        <v>3.144940394491317</v>
      </c>
      <c r="I85" s="345">
        <f t="shared" si="4"/>
        <v>3.534443654764772</v>
      </c>
    </row>
    <row r="86" spans="6:9" ht="12.75">
      <c r="F86" s="27">
        <v>84</v>
      </c>
      <c r="G86" s="345">
        <f t="shared" si="5"/>
        <v>2.963185840952363</v>
      </c>
      <c r="H86" s="345">
        <f t="shared" si="3"/>
        <v>3.1491980265594632</v>
      </c>
      <c r="I86" s="345">
        <f t="shared" si="4"/>
        <v>3.538673455926922</v>
      </c>
    </row>
    <row r="87" spans="6:9" ht="12.75">
      <c r="F87" s="27">
        <v>85</v>
      </c>
      <c r="G87" s="345">
        <f t="shared" si="5"/>
        <v>2.9673695400238813</v>
      </c>
      <c r="H87" s="345">
        <f t="shared" si="3"/>
        <v>3.1532921653802735</v>
      </c>
      <c r="I87" s="345">
        <f t="shared" si="4"/>
        <v>3.542837251088773</v>
      </c>
    </row>
    <row r="88" spans="6:9" ht="12.75">
      <c r="F88" s="27">
        <v>86</v>
      </c>
      <c r="G88" s="345">
        <f t="shared" si="5"/>
        <v>2.971519447657739</v>
      </c>
      <c r="H88" s="345">
        <f t="shared" si="3"/>
        <v>3.157464367372399</v>
      </c>
      <c r="I88" s="345">
        <f t="shared" si="4"/>
        <v>3.5469371470336273</v>
      </c>
    </row>
    <row r="89" spans="6:9" ht="12.75">
      <c r="F89" s="27">
        <v>87</v>
      </c>
      <c r="G89" s="345">
        <f t="shared" si="5"/>
        <v>2.9755749766625885</v>
      </c>
      <c r="H89" s="345">
        <f t="shared" si="3"/>
        <v>3.1614754132946015</v>
      </c>
      <c r="I89" s="345">
        <f t="shared" si="4"/>
        <v>3.550975161698035</v>
      </c>
    </row>
    <row r="90" spans="6:9" ht="12.75">
      <c r="F90" s="27">
        <v>88</v>
      </c>
      <c r="G90" s="345">
        <f t="shared" si="5"/>
        <v>2.9795369008182693</v>
      </c>
      <c r="H90" s="345">
        <f t="shared" si="3"/>
        <v>3.165446800335675</v>
      </c>
      <c r="I90" s="345">
        <f t="shared" si="4"/>
        <v>3.5554118678173574</v>
      </c>
    </row>
    <row r="91" spans="6:9" ht="12.75">
      <c r="F91" s="27">
        <v>89</v>
      </c>
      <c r="G91" s="345">
        <f t="shared" si="5"/>
        <v>2.983529737724242</v>
      </c>
      <c r="H91" s="345">
        <f t="shared" si="3"/>
        <v>3.1693797894487803</v>
      </c>
      <c r="I91" s="345">
        <f t="shared" si="4"/>
        <v>3.559332944337692</v>
      </c>
    </row>
    <row r="92" spans="6:9" ht="12.75">
      <c r="F92" s="27">
        <v>90</v>
      </c>
      <c r="G92" s="345">
        <f t="shared" si="5"/>
        <v>2.9874307868668453</v>
      </c>
      <c r="H92" s="345">
        <f t="shared" si="3"/>
        <v>3.1732755886434627</v>
      </c>
      <c r="I92" s="345">
        <f t="shared" si="4"/>
        <v>3.5631976845003446</v>
      </c>
    </row>
    <row r="93" spans="6:9" ht="12.75">
      <c r="F93" s="27">
        <v>91</v>
      </c>
      <c r="G93" s="345">
        <f t="shared" si="5"/>
        <v>2.991302786598206</v>
      </c>
      <c r="H93" s="345">
        <f t="shared" si="3"/>
        <v>3.1771353557372772</v>
      </c>
      <c r="I93" s="345">
        <f t="shared" si="4"/>
        <v>3.5674696515555286</v>
      </c>
    </row>
    <row r="94" spans="6:9" ht="12.75">
      <c r="F94" s="27">
        <v>92</v>
      </c>
      <c r="G94" s="345">
        <f t="shared" si="5"/>
        <v>2.995084479613402</v>
      </c>
      <c r="H94" s="345">
        <f t="shared" si="3"/>
        <v>3.1808385081076205</v>
      </c>
      <c r="I94" s="345">
        <f t="shared" si="4"/>
        <v>3.571227813553767</v>
      </c>
    </row>
    <row r="95" spans="6:9" ht="12.75">
      <c r="F95" s="27">
        <v>93</v>
      </c>
      <c r="G95" s="345">
        <f t="shared" si="5"/>
        <v>2.9988387201778752</v>
      </c>
      <c r="H95" s="345">
        <f t="shared" si="3"/>
        <v>3.184629297085623</v>
      </c>
      <c r="I95" s="345">
        <f t="shared" si="4"/>
        <v>3.574934538713092</v>
      </c>
    </row>
    <row r="96" spans="6:9" ht="12.75">
      <c r="F96" s="27">
        <v>94</v>
      </c>
      <c r="G96" s="345">
        <f t="shared" si="5"/>
        <v>3.002566345511203</v>
      </c>
      <c r="H96" s="345">
        <f t="shared" si="3"/>
        <v>3.1883872551235126</v>
      </c>
      <c r="I96" s="345">
        <f t="shared" si="4"/>
        <v>3.578591339253119</v>
      </c>
    </row>
    <row r="97" spans="6:9" ht="12.75">
      <c r="F97" s="27">
        <v>95</v>
      </c>
      <c r="G97" s="345">
        <f t="shared" si="5"/>
        <v>3.0062057386930268</v>
      </c>
      <c r="H97" s="345">
        <f t="shared" si="3"/>
        <v>3.191991082205289</v>
      </c>
      <c r="I97" s="345">
        <f t="shared" si="4"/>
        <v>3.582199668616885</v>
      </c>
    </row>
    <row r="98" spans="6:9" ht="12.75">
      <c r="F98" s="27">
        <v>96</v>
      </c>
      <c r="G98" s="345">
        <f t="shared" si="5"/>
        <v>3.009819925712919</v>
      </c>
      <c r="H98" s="345">
        <f>(F98-1)/SQRT(F98)*SQRT(TINV(0.05/(F98/2),F98-2)^2/(F98-2+TINV(0.05/(F98/2),F98-2)^2))</f>
        <v>3.1955636239640812</v>
      </c>
      <c r="I98" s="345">
        <f>(F98-1)/SQRT(F98)*SQRT(TINV(0.01/(F98/2),F98-2)^2/(F98-2+TINV(0.01/(F98/2),F98-2)^2))</f>
        <v>3.585760924302492</v>
      </c>
    </row>
    <row r="99" spans="6:9" ht="12.75">
      <c r="F99" s="27">
        <v>97</v>
      </c>
      <c r="G99" s="345">
        <f t="shared" si="5"/>
        <v>3.013409652273215</v>
      </c>
      <c r="H99" s="345">
        <f>(F99-1)/SQRT(F99)*SQRT(TINV(0.05/(F99/2),F99-2)^2/(F99-2+TINV(0.05/(F99/2),F99-2)^2))</f>
        <v>3.1991057965923377</v>
      </c>
      <c r="I99" s="345">
        <f>(F99-1)/SQRT(F99)*SQRT(TINV(0.01/(F99/2),F99-2)^2/(F99-2+TINV(0.01/(F99/2),F99-2)^2))</f>
        <v>3.5897442572297527</v>
      </c>
    </row>
    <row r="100" spans="6:9" ht="12.75">
      <c r="F100" s="27">
        <v>98</v>
      </c>
      <c r="G100" s="345">
        <f t="shared" si="5"/>
        <v>3.0169756349221575</v>
      </c>
      <c r="H100" s="345">
        <f>(F100-1)/SQRT(F100)*SQRT(TINV(0.05/(F100/2),F100-2)^2/(F100-2+TINV(0.05/(F100/2),F100-2)^2))</f>
        <v>3.2026184808246283</v>
      </c>
      <c r="I100" s="345">
        <f>(F100-1)/SQRT(F100)*SQRT(TINV(0.01/(F100/2),F100-2)^2/(F100-2+TINV(0.01/(F100/2),F100-2)^2))</f>
        <v>3.5932162829603027</v>
      </c>
    </row>
    <row r="101" spans="6:9" ht="12.75">
      <c r="F101" s="27">
        <v>99</v>
      </c>
      <c r="G101" s="345">
        <f t="shared" si="5"/>
        <v>3.020455818421774</v>
      </c>
      <c r="H101" s="345">
        <f>(F101-1)/SQRT(F101)*SQRT(TINV(0.05/(F101/2),F101-2)^2/(F101-2+TINV(0.05/(F101/2),F101-2)^2))</f>
        <v>3.206102523637508</v>
      </c>
      <c r="I101" s="345">
        <f>(F101-1)/SQRT(F101)*SQRT(TINV(0.01/(F101/2),F101-2)^2/(F101-2+TINV(0.01/(F101/2),F101-2)^2))</f>
        <v>3.5966451015096355</v>
      </c>
    </row>
    <row r="102" spans="6:9" ht="12.75">
      <c r="F102" s="38">
        <v>100</v>
      </c>
      <c r="G102" s="346">
        <f t="shared" si="5"/>
        <v>3.0239134546697573</v>
      </c>
      <c r="H102" s="346">
        <f>(F102-1)/SQRT(F102)*SQRT(TINV(0.05/(F102/2),F102-2)^2/(F102-2+TINV(0.05/(F102/2),F102-2)^2))</f>
        <v>3.209558739852461</v>
      </c>
      <c r="I102" s="346">
        <f>(F102-1)/SQRT(F102)*SQRT(TINV(0.01/(F102/2),F102-2)^2/(F102-2+TINV(0.01/(F102/2),F102-2)^2))</f>
        <v>3.600502448898027</v>
      </c>
    </row>
  </sheetData>
  <sheetProtection selectLockedCells="1"/>
  <printOptions/>
  <pageMargins left="0.75" right="0.75" top="1" bottom="1" header="0.4921259845" footer="0.492125984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4"/>
  <dimension ref="A1:S129"/>
  <sheetViews>
    <sheetView showGridLines="0" workbookViewId="0" topLeftCell="A1">
      <selection activeCell="F3" sqref="F3:M3"/>
    </sheetView>
  </sheetViews>
  <sheetFormatPr defaultColWidth="11.421875" defaultRowHeight="12.75"/>
  <cols>
    <col min="1" max="2" width="4.28125" style="1" customWidth="1"/>
    <col min="3" max="3" width="19.7109375" style="1" customWidth="1"/>
    <col min="4" max="5" width="4.28125" style="1" customWidth="1"/>
    <col min="6" max="6" width="19.7109375" style="1" customWidth="1"/>
    <col min="7" max="8" width="10.28125" style="1" customWidth="1"/>
    <col min="9" max="10" width="4.28125" style="1" customWidth="1"/>
    <col min="11" max="11" width="19.7109375" style="1" customWidth="1"/>
    <col min="12" max="12" width="3.7109375" style="1" customWidth="1"/>
    <col min="13" max="13" width="7.28125" style="1" customWidth="1"/>
    <col min="14" max="14" width="10.57421875" style="1" customWidth="1"/>
    <col min="15" max="16384" width="11.421875" style="1" customWidth="1"/>
  </cols>
  <sheetData>
    <row r="1" spans="1:14" ht="36" customHeight="1">
      <c r="A1" s="103" t="s">
        <v>82</v>
      </c>
      <c r="B1" s="103"/>
      <c r="C1" s="6"/>
      <c r="D1" s="6"/>
      <c r="E1" s="6"/>
      <c r="F1" s="6"/>
      <c r="G1" s="6"/>
      <c r="H1" s="6"/>
      <c r="I1" s="6"/>
      <c r="J1" s="104" t="s">
        <v>81</v>
      </c>
      <c r="K1" s="105"/>
      <c r="L1" s="136"/>
      <c r="M1" s="136"/>
      <c r="N1" s="136"/>
    </row>
    <row r="2" spans="1:14" ht="24" customHeight="1">
      <c r="A2" s="128" t="s">
        <v>96</v>
      </c>
      <c r="B2" s="103"/>
      <c r="C2" s="6"/>
      <c r="D2" s="6"/>
      <c r="E2" s="6"/>
      <c r="F2" s="337"/>
      <c r="G2" s="337"/>
      <c r="H2" s="337"/>
      <c r="I2" s="337"/>
      <c r="J2" s="337"/>
      <c r="K2" s="337"/>
      <c r="L2" s="337"/>
      <c r="M2" s="337"/>
      <c r="N2" s="136"/>
    </row>
    <row r="3" spans="1:14" ht="19.5" customHeight="1">
      <c r="A3" s="128" t="s">
        <v>120</v>
      </c>
      <c r="B3" s="128"/>
      <c r="C3" s="47"/>
      <c r="D3" s="129"/>
      <c r="F3" s="337"/>
      <c r="G3" s="337"/>
      <c r="H3" s="337"/>
      <c r="I3" s="337"/>
      <c r="J3" s="337"/>
      <c r="K3" s="337"/>
      <c r="L3" s="337"/>
      <c r="M3" s="337"/>
      <c r="N3" s="153"/>
    </row>
    <row r="4" spans="1:19" ht="19.5" customHeight="1">
      <c r="A4" s="106" t="s">
        <v>64</v>
      </c>
      <c r="B4" s="106"/>
      <c r="C4" s="107"/>
      <c r="D4" s="108"/>
      <c r="F4" s="339"/>
      <c r="G4" s="339"/>
      <c r="H4" s="339"/>
      <c r="I4" s="339"/>
      <c r="J4" s="339"/>
      <c r="K4" s="339"/>
      <c r="L4" s="339"/>
      <c r="M4" s="339"/>
      <c r="N4" s="153"/>
      <c r="O4" s="109"/>
      <c r="P4" s="109"/>
      <c r="Q4" s="109"/>
      <c r="R4" s="109"/>
      <c r="S4" s="109"/>
    </row>
    <row r="5" spans="1:19" ht="19.5" customHeight="1">
      <c r="A5" s="106" t="s">
        <v>65</v>
      </c>
      <c r="B5" s="106"/>
      <c r="C5" s="107"/>
      <c r="D5" s="108"/>
      <c r="F5" s="339"/>
      <c r="G5" s="339"/>
      <c r="H5" s="339"/>
      <c r="I5" s="339"/>
      <c r="J5" s="339"/>
      <c r="K5" s="339"/>
      <c r="L5" s="339"/>
      <c r="M5" s="339"/>
      <c r="N5" s="153"/>
      <c r="O5" s="109"/>
      <c r="P5" s="109"/>
      <c r="Q5" s="110"/>
      <c r="R5" s="109"/>
      <c r="S5" s="109"/>
    </row>
    <row r="6" spans="1:19" ht="19.5" customHeight="1">
      <c r="A6" s="106" t="s">
        <v>68</v>
      </c>
      <c r="B6" s="106"/>
      <c r="C6" s="107"/>
      <c r="D6" s="108"/>
      <c r="F6" s="336">
        <f>IF(ISBLANK('Statistik für Mehrfachbest.'!S4),"",'Statistik für Mehrfachbest.'!S4)</f>
      </c>
      <c r="G6" s="336"/>
      <c r="H6" s="336"/>
      <c r="I6" s="130"/>
      <c r="J6" s="130"/>
      <c r="K6" s="130"/>
      <c r="L6" s="130"/>
      <c r="M6" s="130"/>
      <c r="N6" s="130"/>
      <c r="O6" s="109"/>
      <c r="P6" s="109"/>
      <c r="Q6" s="109"/>
      <c r="R6" s="109"/>
      <c r="S6" s="109"/>
    </row>
    <row r="7" spans="1:19" ht="19.5" customHeight="1">
      <c r="A7" s="106" t="s">
        <v>11</v>
      </c>
      <c r="B7" s="106"/>
      <c r="C7" s="107"/>
      <c r="D7" s="108"/>
      <c r="F7" s="336" t="str">
        <f>IF(ISBLANK('Statistik für Mehrfachbest.'!M5),"nicht angegeben!",'Statistik für Mehrfachbest.'!M5&amp;" "&amp;'Statistik für Mehrfachbest.'!S4)</f>
        <v>2 </v>
      </c>
      <c r="G7" s="336"/>
      <c r="H7" s="336"/>
      <c r="I7" s="153"/>
      <c r="J7" s="153"/>
      <c r="K7" s="153"/>
      <c r="L7" s="153"/>
      <c r="M7" s="153"/>
      <c r="N7" s="153"/>
      <c r="O7" s="109"/>
      <c r="P7" s="109"/>
      <c r="Q7" s="110"/>
      <c r="R7" s="109"/>
      <c r="S7" s="109"/>
    </row>
    <row r="8" spans="1:19" ht="19.5" customHeight="1">
      <c r="A8" s="128" t="s">
        <v>66</v>
      </c>
      <c r="B8" s="128"/>
      <c r="C8" s="131"/>
      <c r="D8" s="132"/>
      <c r="F8" s="337"/>
      <c r="G8" s="337"/>
      <c r="H8" s="337"/>
      <c r="I8" s="337"/>
      <c r="J8" s="337"/>
      <c r="K8" s="337"/>
      <c r="L8" s="337"/>
      <c r="M8" s="337"/>
      <c r="N8" s="153"/>
      <c r="O8" s="109"/>
      <c r="P8" s="109"/>
      <c r="Q8" s="109"/>
      <c r="R8" s="109"/>
      <c r="S8" s="109"/>
    </row>
    <row r="9" spans="1:19" ht="24" customHeight="1">
      <c r="A9" s="111" t="s">
        <v>67</v>
      </c>
      <c r="B9" s="111"/>
      <c r="C9" s="131"/>
      <c r="D9" s="338"/>
      <c r="E9" s="338"/>
      <c r="F9" s="338"/>
      <c r="G9" s="338"/>
      <c r="H9" s="338"/>
      <c r="I9" s="338"/>
      <c r="J9" s="338"/>
      <c r="K9" s="338"/>
      <c r="L9" s="338"/>
      <c r="M9" s="338"/>
      <c r="N9" s="154"/>
      <c r="O9" s="109"/>
      <c r="P9" s="109"/>
      <c r="Q9" s="109"/>
      <c r="R9" s="109"/>
      <c r="S9" s="109"/>
    </row>
    <row r="10" spans="1:19" ht="15.75" customHeight="1">
      <c r="A10" s="328"/>
      <c r="B10" s="328"/>
      <c r="C10" s="328"/>
      <c r="D10" s="328"/>
      <c r="E10" s="328"/>
      <c r="F10" s="328"/>
      <c r="G10" s="328"/>
      <c r="H10" s="328"/>
      <c r="I10" s="328"/>
      <c r="J10" s="328"/>
      <c r="K10" s="328"/>
      <c r="L10" s="328"/>
      <c r="M10" s="328"/>
      <c r="N10" s="154"/>
      <c r="O10" s="109"/>
      <c r="P10" s="109"/>
      <c r="Q10" s="109"/>
      <c r="R10" s="109"/>
      <c r="S10" s="109"/>
    </row>
    <row r="11" spans="1:19" ht="15.75" customHeight="1">
      <c r="A11" s="328"/>
      <c r="B11" s="328"/>
      <c r="C11" s="328"/>
      <c r="D11" s="328"/>
      <c r="E11" s="328"/>
      <c r="F11" s="328"/>
      <c r="G11" s="328"/>
      <c r="H11" s="328"/>
      <c r="I11" s="328"/>
      <c r="J11" s="328"/>
      <c r="K11" s="328"/>
      <c r="L11" s="328"/>
      <c r="M11" s="328"/>
      <c r="N11" s="154"/>
      <c r="O11" s="109"/>
      <c r="P11" s="109"/>
      <c r="Q11" s="109"/>
      <c r="R11" s="109"/>
      <c r="S11" s="109"/>
    </row>
    <row r="12" spans="1:19" ht="15.75" customHeight="1">
      <c r="A12" s="328"/>
      <c r="B12" s="328"/>
      <c r="C12" s="328"/>
      <c r="D12" s="328"/>
      <c r="E12" s="328"/>
      <c r="F12" s="328"/>
      <c r="G12" s="328"/>
      <c r="H12" s="328"/>
      <c r="I12" s="328"/>
      <c r="J12" s="328"/>
      <c r="K12" s="328"/>
      <c r="L12" s="328"/>
      <c r="M12" s="328"/>
      <c r="N12" s="154"/>
      <c r="O12" s="109"/>
      <c r="P12" s="109"/>
      <c r="Q12" s="109"/>
      <c r="R12" s="109"/>
      <c r="S12" s="109"/>
    </row>
    <row r="13" spans="1:19" ht="15.75" customHeight="1">
      <c r="A13" s="328"/>
      <c r="B13" s="328"/>
      <c r="C13" s="328"/>
      <c r="D13" s="328"/>
      <c r="E13" s="328"/>
      <c r="F13" s="328"/>
      <c r="G13" s="328"/>
      <c r="H13" s="328"/>
      <c r="I13" s="328"/>
      <c r="J13" s="328"/>
      <c r="K13" s="328"/>
      <c r="L13" s="328"/>
      <c r="M13" s="328"/>
      <c r="N13" s="154"/>
      <c r="O13" s="109"/>
      <c r="P13" s="109"/>
      <c r="Q13" s="109"/>
      <c r="R13" s="109"/>
      <c r="S13" s="109"/>
    </row>
    <row r="14" spans="1:19" ht="15.75" customHeight="1">
      <c r="A14" s="133"/>
      <c r="B14" s="133"/>
      <c r="C14" s="130"/>
      <c r="D14" s="130"/>
      <c r="E14" s="130"/>
      <c r="F14" s="130"/>
      <c r="G14" s="130"/>
      <c r="H14" s="130"/>
      <c r="I14" s="130"/>
      <c r="J14" s="130"/>
      <c r="K14" s="130"/>
      <c r="L14" s="130"/>
      <c r="M14" s="130"/>
      <c r="N14" s="130"/>
      <c r="O14" s="109"/>
      <c r="P14" s="109"/>
      <c r="Q14" s="109"/>
      <c r="R14" s="109"/>
      <c r="S14" s="109"/>
    </row>
    <row r="15" spans="1:19" ht="12.75">
      <c r="A15" s="112" t="str">
        <f>"Revision: "&amp;'Statistik für Mehrfachbest.'!V1</f>
        <v>Revision: 2</v>
      </c>
      <c r="B15" s="112"/>
      <c r="O15" s="14"/>
      <c r="P15" s="14"/>
      <c r="Q15" s="14"/>
      <c r="R15" s="14"/>
      <c r="S15" s="14"/>
    </row>
    <row r="16" spans="1:19" ht="13.5" customHeight="1" thickBot="1">
      <c r="A16" s="167" t="s">
        <v>75</v>
      </c>
      <c r="B16" s="168"/>
      <c r="C16" s="169"/>
      <c r="D16" s="167" t="s">
        <v>93</v>
      </c>
      <c r="E16" s="170"/>
      <c r="F16" s="170"/>
      <c r="G16" s="171" t="s">
        <v>74</v>
      </c>
      <c r="H16" s="167"/>
      <c r="I16" s="170"/>
      <c r="J16" s="167" t="s">
        <v>73</v>
      </c>
      <c r="K16" s="170"/>
      <c r="N16" s="158"/>
      <c r="O16" s="14"/>
      <c r="P16" s="14"/>
      <c r="Q16" s="14"/>
      <c r="R16" s="14"/>
      <c r="S16" s="14"/>
    </row>
    <row r="17" spans="1:19" ht="13.5" customHeight="1">
      <c r="A17" s="164" t="s">
        <v>69</v>
      </c>
      <c r="B17" s="165"/>
      <c r="C17" s="166"/>
      <c r="D17" s="317"/>
      <c r="E17" s="323"/>
      <c r="F17" s="318"/>
      <c r="G17" s="317"/>
      <c r="H17" s="323"/>
      <c r="I17" s="318"/>
      <c r="J17" s="315"/>
      <c r="K17" s="316"/>
      <c r="N17" s="159"/>
      <c r="O17" s="14"/>
      <c r="P17" s="14"/>
      <c r="Q17" s="14"/>
      <c r="R17" s="14"/>
      <c r="S17" s="14"/>
    </row>
    <row r="18" spans="1:19" ht="13.5" customHeight="1">
      <c r="A18" s="157" t="s">
        <v>70</v>
      </c>
      <c r="B18" s="155"/>
      <c r="C18" s="156"/>
      <c r="D18" s="329"/>
      <c r="E18" s="323"/>
      <c r="F18" s="318"/>
      <c r="G18" s="324"/>
      <c r="H18" s="325"/>
      <c r="I18" s="326"/>
      <c r="J18" s="317"/>
      <c r="K18" s="318"/>
      <c r="N18" s="159"/>
      <c r="O18" s="14"/>
      <c r="P18" s="14"/>
      <c r="Q18" s="14"/>
      <c r="R18" s="14"/>
      <c r="S18" s="14"/>
    </row>
    <row r="19" spans="1:19" ht="13.5" customHeight="1">
      <c r="A19" s="157" t="s">
        <v>71</v>
      </c>
      <c r="B19" s="157"/>
      <c r="C19" s="160"/>
      <c r="D19" s="317"/>
      <c r="E19" s="323"/>
      <c r="F19" s="318"/>
      <c r="G19" s="324"/>
      <c r="H19" s="325"/>
      <c r="I19" s="326"/>
      <c r="J19" s="317"/>
      <c r="K19" s="318"/>
      <c r="N19" s="159"/>
      <c r="O19" s="14"/>
      <c r="P19" s="14"/>
      <c r="Q19" s="14"/>
      <c r="R19" s="14"/>
      <c r="S19" s="14"/>
    </row>
    <row r="20" spans="15:19" ht="12.75">
      <c r="O20" s="14"/>
      <c r="P20" s="14"/>
      <c r="Q20" s="14"/>
      <c r="R20" s="14"/>
      <c r="S20" s="14"/>
    </row>
    <row r="21" spans="15:19" ht="12.75">
      <c r="O21" s="14"/>
      <c r="P21" s="14"/>
      <c r="Q21" s="14"/>
      <c r="R21" s="14"/>
      <c r="S21" s="14"/>
    </row>
    <row r="22" spans="1:19" ht="17.25">
      <c r="A22" s="113" t="s">
        <v>63</v>
      </c>
      <c r="B22" s="113"/>
      <c r="O22" s="14"/>
      <c r="P22" s="14"/>
      <c r="Q22" s="14"/>
      <c r="R22" s="14"/>
      <c r="S22" s="14"/>
    </row>
    <row r="23" spans="1:2" ht="9" customHeight="1" thickBot="1">
      <c r="A23" s="113"/>
      <c r="B23" s="113"/>
    </row>
    <row r="24" spans="3:11" ht="12.75" customHeight="1" thickTop="1">
      <c r="C24" s="202"/>
      <c r="D24" s="199" t="s">
        <v>76</v>
      </c>
      <c r="E24" s="172"/>
      <c r="F24" s="195" t="s">
        <v>79</v>
      </c>
      <c r="G24" s="330"/>
      <c r="H24" s="331"/>
      <c r="I24" s="199" t="s">
        <v>76</v>
      </c>
      <c r="J24" s="172"/>
      <c r="K24" s="181" t="s">
        <v>79</v>
      </c>
    </row>
    <row r="25" spans="3:11" ht="12.75">
      <c r="C25" s="208" t="s">
        <v>124</v>
      </c>
      <c r="D25" s="200" t="s">
        <v>77</v>
      </c>
      <c r="E25" s="134" t="s">
        <v>78</v>
      </c>
      <c r="F25" s="196" t="s">
        <v>80</v>
      </c>
      <c r="G25" s="332" t="s">
        <v>124</v>
      </c>
      <c r="H25" s="333"/>
      <c r="I25" s="200" t="s">
        <v>77</v>
      </c>
      <c r="J25" s="134" t="s">
        <v>78</v>
      </c>
      <c r="K25" s="182" t="s">
        <v>80</v>
      </c>
    </row>
    <row r="26" spans="3:11" ht="15" customHeight="1">
      <c r="C26" s="205">
        <f>IF(ISBLANK('Statistik für Mehrfachbest.'!L7),"",'Statistik für Mehrfachbest.'!L7)</f>
      </c>
      <c r="D26" s="201" t="str">
        <f>IF(ISBLANK('Statistik für Mehrfachbest.'!P7),"leere Zelle",'Statistik für Mehrfachbest.'!P7)</f>
        <v>ü</v>
      </c>
      <c r="E26" s="151" t="str">
        <f>IF(ISBLANK('Statistik für Mehrfachbest.'!Q7),"leere Zelle",'Statistik für Mehrfachbest.'!Q7)</f>
        <v>ü</v>
      </c>
      <c r="F26" s="197">
        <f>IF(ISBLANK('Statistik für Mehrfachbest.'!M7),"leere Zelle",'Statistik für Mehrfachbest.'!M7)</f>
        <v>1</v>
      </c>
      <c r="G26" s="334">
        <f>IF(ISBLANK('Statistik für Mehrfachbest.'!L37),"",'Statistik für Mehrfachbest.'!L37)</f>
      </c>
      <c r="H26" s="335"/>
      <c r="I26" s="201">
        <f>IF(ISBLANK('Statistik für Mehrfachbest.'!P37),"leere Zelle",'Statistik für Mehrfachbest.'!P37)</f>
      </c>
      <c r="J26" s="151">
        <f>IF(ISBLANK('Statistik für Mehrfachbest.'!Q37),"leere Zelle",'Statistik für Mehrfachbest.'!Q37)</f>
      </c>
      <c r="K26" s="186" t="str">
        <f>IF(ISBLANK('Statistik für Mehrfachbest.'!M37),"leere Zelle",'Statistik für Mehrfachbest.'!M37)</f>
        <v>leere Zelle</v>
      </c>
    </row>
    <row r="27" spans="3:11" ht="15" customHeight="1">
      <c r="C27" s="206">
        <f>IF(ISBLANK('Statistik für Mehrfachbest.'!L8),"",'Statistik für Mehrfachbest.'!L8)</f>
      </c>
      <c r="D27" s="151" t="str">
        <f>IF(ISBLANK('Statistik für Mehrfachbest.'!P8),"leere Zelle",'Statistik für Mehrfachbest.'!P8)</f>
        <v>ü</v>
      </c>
      <c r="E27" s="151" t="str">
        <f>IF(ISBLANK('Statistik für Mehrfachbest.'!Q8),"leere Zelle",'Statistik für Mehrfachbest.'!Q8)</f>
        <v>ü</v>
      </c>
      <c r="F27" s="198">
        <f>IF(ISBLANK('Statistik für Mehrfachbest.'!M8),"leere Zelle",'Statistik für Mehrfachbest.'!M8)</f>
        <v>2</v>
      </c>
      <c r="G27" s="319">
        <f>IF(ISBLANK('Statistik für Mehrfachbest.'!L38),"",'Statistik für Mehrfachbest.'!L38)</f>
      </c>
      <c r="H27" s="320"/>
      <c r="I27" s="151">
        <f>IF(ISBLANK('Statistik für Mehrfachbest.'!P38),"leere Zelle",'Statistik für Mehrfachbest.'!P38)</f>
      </c>
      <c r="J27" s="151">
        <f>IF(ISBLANK('Statistik für Mehrfachbest.'!Q38),"leere Zelle",'Statistik für Mehrfachbest.'!Q38)</f>
      </c>
      <c r="K27" s="187" t="str">
        <f>IF(ISBLANK('Statistik für Mehrfachbest.'!M38),"leere Zelle",'Statistik für Mehrfachbest.'!M38)</f>
        <v>leere Zelle</v>
      </c>
    </row>
    <row r="28" spans="3:11" ht="15" customHeight="1">
      <c r="C28" s="206">
        <f>IF(ISBLANK('Statistik für Mehrfachbest.'!L9),"",'Statistik für Mehrfachbest.'!L9)</f>
      </c>
      <c r="D28" s="151" t="str">
        <f>IF(ISBLANK('Statistik für Mehrfachbest.'!P9),"leere Zelle",'Statistik für Mehrfachbest.'!P9)</f>
        <v>û</v>
      </c>
      <c r="E28" s="151" t="str">
        <f>IF(ISBLANK('Statistik für Mehrfachbest.'!Q9),"leere Zelle",'Statistik für Mehrfachbest.'!Q9)</f>
        <v>û</v>
      </c>
      <c r="F28" s="198">
        <f>IF(ISBLANK('Statistik für Mehrfachbest.'!M9),"leere Zelle",'Statistik für Mehrfachbest.'!M9)</f>
        <v>10</v>
      </c>
      <c r="G28" s="319">
        <f>IF(ISBLANK('Statistik für Mehrfachbest.'!L39),"",'Statistik für Mehrfachbest.'!L39)</f>
      </c>
      <c r="H28" s="320"/>
      <c r="I28" s="151">
        <f>IF(ISBLANK('Statistik für Mehrfachbest.'!P39),"leere Zelle",'Statistik für Mehrfachbest.'!P39)</f>
      </c>
      <c r="J28" s="151">
        <f>IF(ISBLANK('Statistik für Mehrfachbest.'!Q39),"leere Zelle",'Statistik für Mehrfachbest.'!Q39)</f>
      </c>
      <c r="K28" s="187" t="str">
        <f>IF(ISBLANK('Statistik für Mehrfachbest.'!M39),"leere Zelle",'Statistik für Mehrfachbest.'!M39)</f>
        <v>leere Zelle</v>
      </c>
    </row>
    <row r="29" spans="3:11" ht="15" customHeight="1">
      <c r="C29" s="206">
        <f>IF(ISBLANK('Statistik für Mehrfachbest.'!L10),"",'Statistik für Mehrfachbest.'!L10)</f>
      </c>
      <c r="D29" s="151" t="str">
        <f>IF(ISBLANK('Statistik für Mehrfachbest.'!P10),"leere Zelle",'Statistik für Mehrfachbest.'!P10)</f>
        <v>ü</v>
      </c>
      <c r="E29" s="151" t="str">
        <f>IF(ISBLANK('Statistik für Mehrfachbest.'!Q10),"leere Zelle",'Statistik für Mehrfachbest.'!Q10)</f>
        <v>ü</v>
      </c>
      <c r="F29" s="198">
        <f>IF(ISBLANK('Statistik für Mehrfachbest.'!M10),"leere Zelle",'Statistik für Mehrfachbest.'!M10)</f>
        <v>2</v>
      </c>
      <c r="G29" s="319">
        <f>IF(ISBLANK('Statistik für Mehrfachbest.'!L40),"",'Statistik für Mehrfachbest.'!L40)</f>
      </c>
      <c r="H29" s="320"/>
      <c r="I29" s="151">
        <f>IF(ISBLANK('Statistik für Mehrfachbest.'!P40),"leere Zelle",'Statistik für Mehrfachbest.'!P40)</f>
      </c>
      <c r="J29" s="151">
        <f>IF(ISBLANK('Statistik für Mehrfachbest.'!Q40),"leere Zelle",'Statistik für Mehrfachbest.'!Q40)</f>
      </c>
      <c r="K29" s="187" t="str">
        <f>IF(ISBLANK('Statistik für Mehrfachbest.'!M40),"leere Zelle",'Statistik für Mehrfachbest.'!M40)</f>
        <v>leere Zelle</v>
      </c>
    </row>
    <row r="30" spans="3:11" ht="15" customHeight="1">
      <c r="C30" s="206">
        <f>IF(ISBLANK('Statistik für Mehrfachbest.'!L11),"",'Statistik für Mehrfachbest.'!L11)</f>
      </c>
      <c r="D30" s="151" t="str">
        <f>IF(ISBLANK('Statistik für Mehrfachbest.'!P11),"leere Zelle",'Statistik für Mehrfachbest.'!P11)</f>
        <v>ü</v>
      </c>
      <c r="E30" s="151" t="str">
        <f>IF(ISBLANK('Statistik für Mehrfachbest.'!Q11),"leere Zelle",'Statistik für Mehrfachbest.'!Q11)</f>
        <v>ü</v>
      </c>
      <c r="F30" s="198">
        <f>IF(ISBLANK('Statistik für Mehrfachbest.'!M11),"leere Zelle",'Statistik für Mehrfachbest.'!M11)</f>
        <v>1</v>
      </c>
      <c r="G30" s="319">
        <f>IF(ISBLANK('Statistik für Mehrfachbest.'!L41),"",'Statistik für Mehrfachbest.'!L41)</f>
      </c>
      <c r="H30" s="320"/>
      <c r="I30" s="151">
        <f>IF(ISBLANK('Statistik für Mehrfachbest.'!P41),"leere Zelle",'Statistik für Mehrfachbest.'!P41)</f>
      </c>
      <c r="J30" s="151">
        <f>IF(ISBLANK('Statistik für Mehrfachbest.'!Q41),"leere Zelle",'Statistik für Mehrfachbest.'!Q41)</f>
      </c>
      <c r="K30" s="187" t="str">
        <f>IF(ISBLANK('Statistik für Mehrfachbest.'!M41),"leere Zelle",'Statistik für Mehrfachbest.'!M41)</f>
        <v>leere Zelle</v>
      </c>
    </row>
    <row r="31" spans="3:11" ht="15" customHeight="1">
      <c r="C31" s="206">
        <f>IF(ISBLANK('Statistik für Mehrfachbest.'!L12),"",'Statistik für Mehrfachbest.'!L12)</f>
      </c>
      <c r="D31" s="151" t="str">
        <f>IF(ISBLANK('Statistik für Mehrfachbest.'!P12),"leere Zelle",'Statistik für Mehrfachbest.'!P12)</f>
        <v>ü</v>
      </c>
      <c r="E31" s="151" t="str">
        <f>IF(ISBLANK('Statistik für Mehrfachbest.'!Q12),"leere Zelle",'Statistik für Mehrfachbest.'!Q12)</f>
        <v>ü</v>
      </c>
      <c r="F31" s="198">
        <f>IF(ISBLANK('Statistik für Mehrfachbest.'!M12),"leere Zelle",'Statistik für Mehrfachbest.'!M12)</f>
        <v>2</v>
      </c>
      <c r="G31" s="319">
        <f>IF(ISBLANK('Statistik für Mehrfachbest.'!L42),"",'Statistik für Mehrfachbest.'!L42)</f>
      </c>
      <c r="H31" s="320"/>
      <c r="I31" s="151">
        <f>IF(ISBLANK('Statistik für Mehrfachbest.'!P42),"leere Zelle",'Statistik für Mehrfachbest.'!P42)</f>
      </c>
      <c r="J31" s="151">
        <f>IF(ISBLANK('Statistik für Mehrfachbest.'!Q42),"leere Zelle",'Statistik für Mehrfachbest.'!Q42)</f>
      </c>
      <c r="K31" s="187" t="str">
        <f>IF(ISBLANK('Statistik für Mehrfachbest.'!M42),"leere Zelle",'Statistik für Mehrfachbest.'!M42)</f>
        <v>leere Zelle</v>
      </c>
    </row>
    <row r="32" spans="3:11" ht="15" customHeight="1">
      <c r="C32" s="206">
        <f>IF(ISBLANK('Statistik für Mehrfachbest.'!L13),"",'Statistik für Mehrfachbest.'!L13)</f>
      </c>
      <c r="D32" s="151" t="str">
        <f>IF(ISBLANK('Statistik für Mehrfachbest.'!P13),"leere Zelle",'Statistik für Mehrfachbest.'!P13)</f>
        <v>ü</v>
      </c>
      <c r="E32" s="151" t="str">
        <f>IF(ISBLANK('Statistik für Mehrfachbest.'!Q13),"leere Zelle",'Statistik für Mehrfachbest.'!Q13)</f>
        <v>ü</v>
      </c>
      <c r="F32" s="198">
        <f>IF(ISBLANK('Statistik für Mehrfachbest.'!M13),"leere Zelle",'Statistik für Mehrfachbest.'!M13)</f>
        <v>1</v>
      </c>
      <c r="G32" s="319">
        <f>IF(ISBLANK('Statistik für Mehrfachbest.'!L43),"",'Statistik für Mehrfachbest.'!L43)</f>
      </c>
      <c r="H32" s="320"/>
      <c r="I32" s="151">
        <f>IF(ISBLANK('Statistik für Mehrfachbest.'!P43),"leere Zelle",'Statistik für Mehrfachbest.'!P43)</f>
      </c>
      <c r="J32" s="151">
        <f>IF(ISBLANK('Statistik für Mehrfachbest.'!Q43),"leere Zelle",'Statistik für Mehrfachbest.'!Q43)</f>
      </c>
      <c r="K32" s="187" t="str">
        <f>IF(ISBLANK('Statistik für Mehrfachbest.'!M43),"leere Zelle",'Statistik für Mehrfachbest.'!M43)</f>
        <v>leere Zelle</v>
      </c>
    </row>
    <row r="33" spans="3:11" ht="15" customHeight="1">
      <c r="C33" s="206">
        <f>IF(ISBLANK('Statistik für Mehrfachbest.'!L14),"",'Statistik für Mehrfachbest.'!L14)</f>
      </c>
      <c r="D33" s="151" t="str">
        <f>IF(ISBLANK('Statistik für Mehrfachbest.'!P14),"leere Zelle",'Statistik für Mehrfachbest.'!P14)</f>
        <v>ü</v>
      </c>
      <c r="E33" s="151" t="str">
        <f>IF(ISBLANK('Statistik für Mehrfachbest.'!Q14),"leere Zelle",'Statistik für Mehrfachbest.'!Q14)</f>
        <v>ü</v>
      </c>
      <c r="F33" s="198">
        <f>IF(ISBLANK('Statistik für Mehrfachbest.'!M14),"leere Zelle",'Statistik für Mehrfachbest.'!M14)</f>
        <v>3</v>
      </c>
      <c r="G33" s="319">
        <f>IF(ISBLANK('Statistik für Mehrfachbest.'!L44),"",'Statistik für Mehrfachbest.'!L44)</f>
      </c>
      <c r="H33" s="320"/>
      <c r="I33" s="151">
        <f>IF(ISBLANK('Statistik für Mehrfachbest.'!P44),"leere Zelle",'Statistik für Mehrfachbest.'!P44)</f>
      </c>
      <c r="J33" s="151">
        <f>IF(ISBLANK('Statistik für Mehrfachbest.'!Q44),"leere Zelle",'Statistik für Mehrfachbest.'!Q44)</f>
      </c>
      <c r="K33" s="187" t="str">
        <f>IF(ISBLANK('Statistik für Mehrfachbest.'!M44),"leere Zelle",'Statistik für Mehrfachbest.'!M44)</f>
        <v>leere Zelle</v>
      </c>
    </row>
    <row r="34" spans="3:11" ht="15" customHeight="1">
      <c r="C34" s="206">
        <f>IF(ISBLANK('Statistik für Mehrfachbest.'!L15),"",'Statistik für Mehrfachbest.'!L15)</f>
      </c>
      <c r="D34" s="151" t="str">
        <f>IF(ISBLANK('Statistik für Mehrfachbest.'!P15),"leere Zelle",'Statistik für Mehrfachbest.'!P15)</f>
        <v>ü</v>
      </c>
      <c r="E34" s="151" t="str">
        <f>IF(ISBLANK('Statistik für Mehrfachbest.'!Q15),"leere Zelle",'Statistik für Mehrfachbest.'!Q15)</f>
        <v>ü</v>
      </c>
      <c r="F34" s="198">
        <f>IF(ISBLANK('Statistik für Mehrfachbest.'!M15),"leere Zelle",'Statistik für Mehrfachbest.'!M15)</f>
        <v>2</v>
      </c>
      <c r="G34" s="319">
        <f>IF(ISBLANK('Statistik für Mehrfachbest.'!L45),"",'Statistik für Mehrfachbest.'!L45)</f>
      </c>
      <c r="H34" s="320"/>
      <c r="I34" s="151">
        <f>IF(ISBLANK('Statistik für Mehrfachbest.'!P45),"leere Zelle",'Statistik für Mehrfachbest.'!P45)</f>
      </c>
      <c r="J34" s="151">
        <f>IF(ISBLANK('Statistik für Mehrfachbest.'!Q45),"leere Zelle",'Statistik für Mehrfachbest.'!Q45)</f>
      </c>
      <c r="K34" s="187" t="str">
        <f>IF(ISBLANK('Statistik für Mehrfachbest.'!M45),"leere Zelle",'Statistik für Mehrfachbest.'!M45)</f>
        <v>leere Zelle</v>
      </c>
    </row>
    <row r="35" spans="3:11" ht="15" customHeight="1">
      <c r="C35" s="206">
        <f>IF(ISBLANK('Statistik für Mehrfachbest.'!L16),"",'Statistik für Mehrfachbest.'!L16)</f>
      </c>
      <c r="D35" s="151" t="str">
        <f>IF(ISBLANK('Statistik für Mehrfachbest.'!P16),"leere Zelle",'Statistik für Mehrfachbest.'!P16)</f>
        <v>ü</v>
      </c>
      <c r="E35" s="151" t="str">
        <f>IF(ISBLANK('Statistik für Mehrfachbest.'!Q16),"leere Zelle",'Statistik für Mehrfachbest.'!Q16)</f>
        <v>ü</v>
      </c>
      <c r="F35" s="198">
        <f>IF(ISBLANK('Statistik für Mehrfachbest.'!M16),"leere Zelle",'Statistik für Mehrfachbest.'!M16)</f>
        <v>1</v>
      </c>
      <c r="G35" s="319">
        <f>IF(ISBLANK('Statistik für Mehrfachbest.'!L46),"",'Statistik für Mehrfachbest.'!L46)</f>
      </c>
      <c r="H35" s="320"/>
      <c r="I35" s="151">
        <f>IF(ISBLANK('Statistik für Mehrfachbest.'!P46),"leere Zelle",'Statistik für Mehrfachbest.'!P46)</f>
      </c>
      <c r="J35" s="151">
        <f>IF(ISBLANK('Statistik für Mehrfachbest.'!Q46),"leere Zelle",'Statistik für Mehrfachbest.'!Q46)</f>
      </c>
      <c r="K35" s="187" t="str">
        <f>IF(ISBLANK('Statistik für Mehrfachbest.'!M46),"leere Zelle",'Statistik für Mehrfachbest.'!M46)</f>
        <v>leere Zelle</v>
      </c>
    </row>
    <row r="36" spans="3:11" ht="15" customHeight="1">
      <c r="C36" s="206">
        <f>IF(ISBLANK('Statistik für Mehrfachbest.'!L17),"",'Statistik für Mehrfachbest.'!L17)</f>
      </c>
      <c r="D36" s="151">
        <f>IF(ISBLANK('Statistik für Mehrfachbest.'!P17),"leere Zelle",'Statistik für Mehrfachbest.'!P17)</f>
      </c>
      <c r="E36" s="151">
        <f>IF(ISBLANK('Statistik für Mehrfachbest.'!Q17),"leere Zelle",'Statistik für Mehrfachbest.'!Q17)</f>
      </c>
      <c r="F36" s="198" t="str">
        <f>IF(ISBLANK('Statistik für Mehrfachbest.'!M17),"leere Zelle",'Statistik für Mehrfachbest.'!M17)</f>
        <v>leere Zelle</v>
      </c>
      <c r="G36" s="319">
        <f>IF(ISBLANK('Statistik für Mehrfachbest.'!L47),"",'Statistik für Mehrfachbest.'!L47)</f>
      </c>
      <c r="H36" s="320"/>
      <c r="I36" s="151">
        <f>IF(ISBLANK('Statistik für Mehrfachbest.'!P47),"leere Zelle",'Statistik für Mehrfachbest.'!P47)</f>
      </c>
      <c r="J36" s="151">
        <f>IF(ISBLANK('Statistik für Mehrfachbest.'!Q47),"leere Zelle",'Statistik für Mehrfachbest.'!Q47)</f>
      </c>
      <c r="K36" s="187" t="str">
        <f>IF(ISBLANK('Statistik für Mehrfachbest.'!M47),"leere Zelle",'Statistik für Mehrfachbest.'!M47)</f>
        <v>leere Zelle</v>
      </c>
    </row>
    <row r="37" spans="3:11" ht="15" customHeight="1">
      <c r="C37" s="206">
        <f>IF(ISBLANK('Statistik für Mehrfachbest.'!L18),"",'Statistik für Mehrfachbest.'!L18)</f>
      </c>
      <c r="D37" s="151">
        <f>IF(ISBLANK('Statistik für Mehrfachbest.'!P18),"leere Zelle",'Statistik für Mehrfachbest.'!P18)</f>
      </c>
      <c r="E37" s="151">
        <f>IF(ISBLANK('Statistik für Mehrfachbest.'!Q18),"leere Zelle",'Statistik für Mehrfachbest.'!Q18)</f>
      </c>
      <c r="F37" s="198" t="str">
        <f>IF(ISBLANK('Statistik für Mehrfachbest.'!M18),"leere Zelle",'Statistik für Mehrfachbest.'!M18)</f>
        <v>leere Zelle</v>
      </c>
      <c r="G37" s="319">
        <f>IF(ISBLANK('Statistik für Mehrfachbest.'!L48),"",'Statistik für Mehrfachbest.'!L48)</f>
      </c>
      <c r="H37" s="320"/>
      <c r="I37" s="151">
        <f>IF(ISBLANK('Statistik für Mehrfachbest.'!P48),"leere Zelle",'Statistik für Mehrfachbest.'!P48)</f>
      </c>
      <c r="J37" s="151">
        <f>IF(ISBLANK('Statistik für Mehrfachbest.'!Q48),"leere Zelle",'Statistik für Mehrfachbest.'!Q48)</f>
      </c>
      <c r="K37" s="187" t="str">
        <f>IF(ISBLANK('Statistik für Mehrfachbest.'!M48),"leere Zelle",'Statistik für Mehrfachbest.'!M48)</f>
        <v>leere Zelle</v>
      </c>
    </row>
    <row r="38" spans="3:11" ht="15" customHeight="1">
      <c r="C38" s="206">
        <f>IF(ISBLANK('Statistik für Mehrfachbest.'!L19),"",'Statistik für Mehrfachbest.'!L19)</f>
      </c>
      <c r="D38" s="151">
        <f>IF(ISBLANK('Statistik für Mehrfachbest.'!P19),"leere Zelle",'Statistik für Mehrfachbest.'!P19)</f>
      </c>
      <c r="E38" s="151">
        <f>IF(ISBLANK('Statistik für Mehrfachbest.'!Q19),"leere Zelle",'Statistik für Mehrfachbest.'!Q19)</f>
      </c>
      <c r="F38" s="198" t="str">
        <f>IF(ISBLANK('Statistik für Mehrfachbest.'!M19),"leere Zelle",'Statistik für Mehrfachbest.'!M19)</f>
        <v>leere Zelle</v>
      </c>
      <c r="G38" s="319">
        <f>IF(ISBLANK('Statistik für Mehrfachbest.'!L49),"",'Statistik für Mehrfachbest.'!L49)</f>
      </c>
      <c r="H38" s="320"/>
      <c r="I38" s="151">
        <f>IF(ISBLANK('Statistik für Mehrfachbest.'!P49),"leere Zelle",'Statistik für Mehrfachbest.'!P49)</f>
      </c>
      <c r="J38" s="151">
        <f>IF(ISBLANK('Statistik für Mehrfachbest.'!Q49),"leere Zelle",'Statistik für Mehrfachbest.'!Q49)</f>
      </c>
      <c r="K38" s="187" t="str">
        <f>IF(ISBLANK('Statistik für Mehrfachbest.'!M49),"leere Zelle",'Statistik für Mehrfachbest.'!M49)</f>
        <v>leere Zelle</v>
      </c>
    </row>
    <row r="39" spans="3:11" ht="15" customHeight="1">
      <c r="C39" s="206">
        <f>IF(ISBLANK('Statistik für Mehrfachbest.'!L20),"",'Statistik für Mehrfachbest.'!L20)</f>
      </c>
      <c r="D39" s="151">
        <f>IF(ISBLANK('Statistik für Mehrfachbest.'!P20),"leere Zelle",'Statistik für Mehrfachbest.'!P20)</f>
      </c>
      <c r="E39" s="151">
        <f>IF(ISBLANK('Statistik für Mehrfachbest.'!Q20),"leere Zelle",'Statistik für Mehrfachbest.'!Q20)</f>
      </c>
      <c r="F39" s="198" t="str">
        <f>IF(ISBLANK('Statistik für Mehrfachbest.'!M20),"leere Zelle",'Statistik für Mehrfachbest.'!M20)</f>
        <v>leere Zelle</v>
      </c>
      <c r="G39" s="319">
        <f>IF(ISBLANK('Statistik für Mehrfachbest.'!L50),"",'Statistik für Mehrfachbest.'!L50)</f>
      </c>
      <c r="H39" s="320"/>
      <c r="I39" s="151">
        <f>IF(ISBLANK('Statistik für Mehrfachbest.'!P50),"leere Zelle",'Statistik für Mehrfachbest.'!P50)</f>
      </c>
      <c r="J39" s="151">
        <f>IF(ISBLANK('Statistik für Mehrfachbest.'!Q50),"leere Zelle",'Statistik für Mehrfachbest.'!Q50)</f>
      </c>
      <c r="K39" s="187" t="str">
        <f>IF(ISBLANK('Statistik für Mehrfachbest.'!M50),"leere Zelle",'Statistik für Mehrfachbest.'!M50)</f>
        <v>leere Zelle</v>
      </c>
    </row>
    <row r="40" spans="3:11" ht="15" customHeight="1">
      <c r="C40" s="206">
        <f>IF(ISBLANK('Statistik für Mehrfachbest.'!L21),"",'Statistik für Mehrfachbest.'!L21)</f>
      </c>
      <c r="D40" s="151">
        <f>IF(ISBLANK('Statistik für Mehrfachbest.'!P21),"leere Zelle",'Statistik für Mehrfachbest.'!P21)</f>
      </c>
      <c r="E40" s="151">
        <f>IF(ISBLANK('Statistik für Mehrfachbest.'!Q21),"leere Zelle",'Statistik für Mehrfachbest.'!Q21)</f>
      </c>
      <c r="F40" s="198" t="str">
        <f>IF(ISBLANK('Statistik für Mehrfachbest.'!M21),"leere Zelle",'Statistik für Mehrfachbest.'!M21)</f>
        <v>leere Zelle</v>
      </c>
      <c r="G40" s="319">
        <f>IF(ISBLANK('Statistik für Mehrfachbest.'!L51),"",'Statistik für Mehrfachbest.'!L51)</f>
      </c>
      <c r="H40" s="320"/>
      <c r="I40" s="151">
        <f>IF(ISBLANK('Statistik für Mehrfachbest.'!P51),"leere Zelle",'Statistik für Mehrfachbest.'!P51)</f>
      </c>
      <c r="J40" s="151">
        <f>IF(ISBLANK('Statistik für Mehrfachbest.'!Q51),"leere Zelle",'Statistik für Mehrfachbest.'!Q51)</f>
      </c>
      <c r="K40" s="187" t="str">
        <f>IF(ISBLANK('Statistik für Mehrfachbest.'!M51),"leere Zelle",'Statistik für Mehrfachbest.'!M51)</f>
        <v>leere Zelle</v>
      </c>
    </row>
    <row r="41" spans="3:11" ht="15" customHeight="1">
      <c r="C41" s="206">
        <f>IF(ISBLANK('Statistik für Mehrfachbest.'!L22),"",'Statistik für Mehrfachbest.'!L22)</f>
      </c>
      <c r="D41" s="151">
        <f>IF(ISBLANK('Statistik für Mehrfachbest.'!P22),"leere Zelle",'Statistik für Mehrfachbest.'!P22)</f>
      </c>
      <c r="E41" s="151">
        <f>IF(ISBLANK('Statistik für Mehrfachbest.'!Q22),"leere Zelle",'Statistik für Mehrfachbest.'!Q22)</f>
      </c>
      <c r="F41" s="198" t="str">
        <f>IF(ISBLANK('Statistik für Mehrfachbest.'!M22),"leere Zelle",'Statistik für Mehrfachbest.'!M22)</f>
        <v>leere Zelle</v>
      </c>
      <c r="G41" s="319">
        <f>IF(ISBLANK('Statistik für Mehrfachbest.'!L52),"",'Statistik für Mehrfachbest.'!L52)</f>
      </c>
      <c r="H41" s="320"/>
      <c r="I41" s="151">
        <f>IF(ISBLANK('Statistik für Mehrfachbest.'!P52),"leere Zelle",'Statistik für Mehrfachbest.'!P52)</f>
      </c>
      <c r="J41" s="151">
        <f>IF(ISBLANK('Statistik für Mehrfachbest.'!Q52),"leere Zelle",'Statistik für Mehrfachbest.'!Q52)</f>
      </c>
      <c r="K41" s="187" t="str">
        <f>IF(ISBLANK('Statistik für Mehrfachbest.'!M52),"leere Zelle",'Statistik für Mehrfachbest.'!M52)</f>
        <v>leere Zelle</v>
      </c>
    </row>
    <row r="42" spans="3:11" ht="15" customHeight="1">
      <c r="C42" s="206">
        <f>IF(ISBLANK('Statistik für Mehrfachbest.'!L23),"",'Statistik für Mehrfachbest.'!L23)</f>
      </c>
      <c r="D42" s="151">
        <f>IF(ISBLANK('Statistik für Mehrfachbest.'!P23),"leere Zelle",'Statistik für Mehrfachbest.'!P23)</f>
      </c>
      <c r="E42" s="151">
        <f>IF(ISBLANK('Statistik für Mehrfachbest.'!Q23),"leere Zelle",'Statistik für Mehrfachbest.'!Q23)</f>
      </c>
      <c r="F42" s="187" t="str">
        <f>IF(ISBLANK('Statistik für Mehrfachbest.'!M23),"leere Zelle",'Statistik für Mehrfachbest.'!M23)</f>
        <v>leere Zelle</v>
      </c>
      <c r="G42" s="319">
        <f>IF(ISBLANK('Statistik für Mehrfachbest.'!L53),"",'Statistik für Mehrfachbest.'!L53)</f>
      </c>
      <c r="H42" s="320"/>
      <c r="I42" s="151">
        <f>IF(ISBLANK('Statistik für Mehrfachbest.'!P53),"leere Zelle",'Statistik für Mehrfachbest.'!P53)</f>
      </c>
      <c r="J42" s="151">
        <f>IF(ISBLANK('Statistik für Mehrfachbest.'!Q53),"leere Zelle",'Statistik für Mehrfachbest.'!Q53)</f>
      </c>
      <c r="K42" s="187" t="str">
        <f>IF(ISBLANK('Statistik für Mehrfachbest.'!M53),"leere Zelle",'Statistik für Mehrfachbest.'!M53)</f>
        <v>leere Zelle</v>
      </c>
    </row>
    <row r="43" spans="3:11" ht="15" customHeight="1">
      <c r="C43" s="206">
        <f>IF(ISBLANK('Statistik für Mehrfachbest.'!L24),"",'Statistik für Mehrfachbest.'!L24)</f>
      </c>
      <c r="D43" s="151">
        <f>IF(ISBLANK('Statistik für Mehrfachbest.'!P24),"leere Zelle",'Statistik für Mehrfachbest.'!P24)</f>
      </c>
      <c r="E43" s="151">
        <f>IF(ISBLANK('Statistik für Mehrfachbest.'!Q24),"leere Zelle",'Statistik für Mehrfachbest.'!Q24)</f>
      </c>
      <c r="F43" s="198" t="str">
        <f>IF(ISBLANK('Statistik für Mehrfachbest.'!M24),"leere Zelle",'Statistik für Mehrfachbest.'!M24)</f>
        <v>leere Zelle</v>
      </c>
      <c r="G43" s="319">
        <f>IF(ISBLANK('Statistik für Mehrfachbest.'!L54),"",'Statistik für Mehrfachbest.'!L54)</f>
      </c>
      <c r="H43" s="320"/>
      <c r="I43" s="151">
        <f>IF(ISBLANK('Statistik für Mehrfachbest.'!P54),"leere Zelle",'Statistik für Mehrfachbest.'!P54)</f>
      </c>
      <c r="J43" s="151">
        <f>IF(ISBLANK('Statistik für Mehrfachbest.'!Q54),"leere Zelle",'Statistik für Mehrfachbest.'!Q54)</f>
      </c>
      <c r="K43" s="187" t="str">
        <f>IF(ISBLANK('Statistik für Mehrfachbest.'!M54),"leere Zelle",'Statistik für Mehrfachbest.'!M54)</f>
        <v>leere Zelle</v>
      </c>
    </row>
    <row r="44" spans="3:11" ht="15" customHeight="1">
      <c r="C44" s="206">
        <f>IF(ISBLANK('Statistik für Mehrfachbest.'!L25),"",'Statistik für Mehrfachbest.'!L25)</f>
      </c>
      <c r="D44" s="151">
        <f>IF(ISBLANK('Statistik für Mehrfachbest.'!P25),"leere Zelle",'Statistik für Mehrfachbest.'!P25)</f>
      </c>
      <c r="E44" s="151">
        <f>IF(ISBLANK('Statistik für Mehrfachbest.'!Q25),"leere Zelle",'Statistik für Mehrfachbest.'!Q25)</f>
      </c>
      <c r="F44" s="198" t="str">
        <f>IF(ISBLANK('Statistik für Mehrfachbest.'!M25),"leere Zelle",'Statistik für Mehrfachbest.'!M25)</f>
        <v>leere Zelle</v>
      </c>
      <c r="G44" s="319">
        <f>IF(ISBLANK('Statistik für Mehrfachbest.'!L55),"",'Statistik für Mehrfachbest.'!L55)</f>
      </c>
      <c r="H44" s="320"/>
      <c r="I44" s="151">
        <f>IF(ISBLANK('Statistik für Mehrfachbest.'!P55),"leere Zelle",'Statistik für Mehrfachbest.'!P55)</f>
      </c>
      <c r="J44" s="151">
        <f>IF(ISBLANK('Statistik für Mehrfachbest.'!Q55),"leere Zelle",'Statistik für Mehrfachbest.'!Q55)</f>
      </c>
      <c r="K44" s="187" t="str">
        <f>IF(ISBLANK('Statistik für Mehrfachbest.'!M55),"leere Zelle",'Statistik für Mehrfachbest.'!M55)</f>
        <v>leere Zelle</v>
      </c>
    </row>
    <row r="45" spans="3:11" ht="15" customHeight="1">
      <c r="C45" s="206">
        <f>IF(ISBLANK('Statistik für Mehrfachbest.'!L26),"",'Statistik für Mehrfachbest.'!L26)</f>
      </c>
      <c r="D45" s="151">
        <f>IF(ISBLANK('Statistik für Mehrfachbest.'!P26),"leere Zelle",'Statistik für Mehrfachbest.'!P26)</f>
      </c>
      <c r="E45" s="151">
        <f>IF(ISBLANK('Statistik für Mehrfachbest.'!Q26),"leere Zelle",'Statistik für Mehrfachbest.'!Q26)</f>
      </c>
      <c r="F45" s="198" t="str">
        <f>IF(ISBLANK('Statistik für Mehrfachbest.'!M26),"leere Zelle",'Statistik für Mehrfachbest.'!M26)</f>
        <v>leere Zelle</v>
      </c>
      <c r="G45" s="319">
        <f>IF(ISBLANK('Statistik für Mehrfachbest.'!L56),"",'Statistik für Mehrfachbest.'!L56)</f>
      </c>
      <c r="H45" s="320"/>
      <c r="I45" s="151">
        <f>IF(ISBLANK('Statistik für Mehrfachbest.'!P56),"leere Zelle",'Statistik für Mehrfachbest.'!P56)</f>
      </c>
      <c r="J45" s="151">
        <f>IF(ISBLANK('Statistik für Mehrfachbest.'!Q56),"leere Zelle",'Statistik für Mehrfachbest.'!Q56)</f>
      </c>
      <c r="K45" s="187" t="str">
        <f>IF(ISBLANK('Statistik für Mehrfachbest.'!M56),"leere Zelle",'Statistik für Mehrfachbest.'!M56)</f>
        <v>leere Zelle</v>
      </c>
    </row>
    <row r="46" spans="3:11" ht="15" customHeight="1">
      <c r="C46" s="206">
        <f>IF(ISBLANK('Statistik für Mehrfachbest.'!L27),"",'Statistik für Mehrfachbest.'!L27)</f>
      </c>
      <c r="D46" s="151">
        <f>IF(ISBLANK('Statistik für Mehrfachbest.'!P27),"leere Zelle",'Statistik für Mehrfachbest.'!P27)</f>
      </c>
      <c r="E46" s="151">
        <f>IF(ISBLANK('Statistik für Mehrfachbest.'!Q27),"leere Zelle",'Statistik für Mehrfachbest.'!Q27)</f>
      </c>
      <c r="F46" s="198" t="str">
        <f>IF(ISBLANK('Statistik für Mehrfachbest.'!M27),"leere Zelle",'Statistik für Mehrfachbest.'!M27)</f>
        <v>leere Zelle</v>
      </c>
      <c r="G46" s="319">
        <f>IF(ISBLANK('Statistik für Mehrfachbest.'!L57),"",'Statistik für Mehrfachbest.'!L57)</f>
      </c>
      <c r="H46" s="320"/>
      <c r="I46" s="151">
        <f>IF(ISBLANK('Statistik für Mehrfachbest.'!P57),"leere Zelle",'Statistik für Mehrfachbest.'!P57)</f>
      </c>
      <c r="J46" s="151">
        <f>IF(ISBLANK('Statistik für Mehrfachbest.'!Q57),"leere Zelle",'Statistik für Mehrfachbest.'!Q57)</f>
      </c>
      <c r="K46" s="187" t="str">
        <f>IF(ISBLANK('Statistik für Mehrfachbest.'!M57),"leere Zelle",'Statistik für Mehrfachbest.'!M57)</f>
        <v>leere Zelle</v>
      </c>
    </row>
    <row r="47" spans="3:11" ht="15" customHeight="1">
      <c r="C47" s="206">
        <f>IF(ISBLANK('Statistik für Mehrfachbest.'!L28),"",'Statistik für Mehrfachbest.'!L28)</f>
      </c>
      <c r="D47" s="151">
        <f>IF(ISBLANK('Statistik für Mehrfachbest.'!P28),"leere Zelle",'Statistik für Mehrfachbest.'!P28)</f>
      </c>
      <c r="E47" s="151">
        <f>IF(ISBLANK('Statistik für Mehrfachbest.'!Q28),"leere Zelle",'Statistik für Mehrfachbest.'!Q28)</f>
      </c>
      <c r="F47" s="198" t="str">
        <f>IF(ISBLANK('Statistik für Mehrfachbest.'!M28),"leere Zelle",'Statistik für Mehrfachbest.'!M28)</f>
        <v>leere Zelle</v>
      </c>
      <c r="G47" s="319">
        <f>IF(ISBLANK('Statistik für Mehrfachbest.'!L58),"",'Statistik für Mehrfachbest.'!L58)</f>
      </c>
      <c r="H47" s="320"/>
      <c r="I47" s="151">
        <f>IF(ISBLANK('Statistik für Mehrfachbest.'!P58),"leere Zelle",'Statistik für Mehrfachbest.'!P58)</f>
      </c>
      <c r="J47" s="151">
        <f>IF(ISBLANK('Statistik für Mehrfachbest.'!Q58),"leere Zelle",'Statistik für Mehrfachbest.'!Q58)</f>
      </c>
      <c r="K47" s="187" t="str">
        <f>IF(ISBLANK('Statistik für Mehrfachbest.'!M58),"leere Zelle",'Statistik für Mehrfachbest.'!M58)</f>
        <v>leere Zelle</v>
      </c>
    </row>
    <row r="48" spans="3:11" ht="15" customHeight="1">
      <c r="C48" s="206">
        <f>IF(ISBLANK('Statistik für Mehrfachbest.'!L29),"",'Statistik für Mehrfachbest.'!L29)</f>
      </c>
      <c r="D48" s="151">
        <f>IF(ISBLANK('Statistik für Mehrfachbest.'!P29),"leere Zelle",'Statistik für Mehrfachbest.'!P29)</f>
      </c>
      <c r="E48" s="151">
        <f>IF(ISBLANK('Statistik für Mehrfachbest.'!Q29),"leere Zelle",'Statistik für Mehrfachbest.'!Q29)</f>
      </c>
      <c r="F48" s="198" t="str">
        <f>IF(ISBLANK('Statistik für Mehrfachbest.'!M29),"leere Zelle",'Statistik für Mehrfachbest.'!M29)</f>
        <v>leere Zelle</v>
      </c>
      <c r="G48" s="319">
        <f>IF(ISBLANK('Statistik für Mehrfachbest.'!L59),"",'Statistik für Mehrfachbest.'!L59)</f>
      </c>
      <c r="H48" s="320"/>
      <c r="I48" s="151">
        <f>IF(ISBLANK('Statistik für Mehrfachbest.'!P59),"leere Zelle",'Statistik für Mehrfachbest.'!P59)</f>
      </c>
      <c r="J48" s="151">
        <f>IF(ISBLANK('Statistik für Mehrfachbest.'!Q59),"leere Zelle",'Statistik für Mehrfachbest.'!Q59)</f>
      </c>
      <c r="K48" s="187" t="str">
        <f>IF(ISBLANK('Statistik für Mehrfachbest.'!M59),"leere Zelle",'Statistik für Mehrfachbest.'!M59)</f>
        <v>leere Zelle</v>
      </c>
    </row>
    <row r="49" spans="3:11" ht="15" customHeight="1">
      <c r="C49" s="206">
        <f>IF(ISBLANK('Statistik für Mehrfachbest.'!L30),"",'Statistik für Mehrfachbest.'!L30)</f>
      </c>
      <c r="D49" s="151">
        <f>IF(ISBLANK('Statistik für Mehrfachbest.'!P30),"leere Zelle",'Statistik für Mehrfachbest.'!P30)</f>
      </c>
      <c r="E49" s="151">
        <f>IF(ISBLANK('Statistik für Mehrfachbest.'!Q30),"leere Zelle",'Statistik für Mehrfachbest.'!Q30)</f>
      </c>
      <c r="F49" s="198" t="str">
        <f>IF(ISBLANK('Statistik für Mehrfachbest.'!M30),"leere Zelle",'Statistik für Mehrfachbest.'!M30)</f>
        <v>leere Zelle</v>
      </c>
      <c r="G49" s="319">
        <f>IF(ISBLANK('Statistik für Mehrfachbest.'!L60),"",'Statistik für Mehrfachbest.'!L60)</f>
      </c>
      <c r="H49" s="320"/>
      <c r="I49" s="151">
        <f>IF(ISBLANK('Statistik für Mehrfachbest.'!P60),"leere Zelle",'Statistik für Mehrfachbest.'!P60)</f>
      </c>
      <c r="J49" s="151">
        <f>IF(ISBLANK('Statistik für Mehrfachbest.'!Q60),"leere Zelle",'Statistik für Mehrfachbest.'!Q60)</f>
      </c>
      <c r="K49" s="187" t="str">
        <f>IF(ISBLANK('Statistik für Mehrfachbest.'!M60),"leere Zelle",'Statistik für Mehrfachbest.'!M60)</f>
        <v>leere Zelle</v>
      </c>
    </row>
    <row r="50" spans="3:11" ht="15" customHeight="1">
      <c r="C50" s="206">
        <f>IF(ISBLANK('Statistik für Mehrfachbest.'!L31),"",'Statistik für Mehrfachbest.'!L31)</f>
      </c>
      <c r="D50" s="151">
        <f>IF(ISBLANK('Statistik für Mehrfachbest.'!P31),"leere Zelle",'Statistik für Mehrfachbest.'!P31)</f>
      </c>
      <c r="E50" s="151">
        <f>IF(ISBLANK('Statistik für Mehrfachbest.'!Q31),"leere Zelle",'Statistik für Mehrfachbest.'!Q31)</f>
      </c>
      <c r="F50" s="198" t="str">
        <f>IF(ISBLANK('Statistik für Mehrfachbest.'!M31),"leere Zelle",'Statistik für Mehrfachbest.'!M31)</f>
        <v>leere Zelle</v>
      </c>
      <c r="G50" s="319">
        <f>IF(ISBLANK('Statistik für Mehrfachbest.'!L61),"",'Statistik für Mehrfachbest.'!L61)</f>
      </c>
      <c r="H50" s="320"/>
      <c r="I50" s="151">
        <f>IF(ISBLANK('Statistik für Mehrfachbest.'!P61),"leere Zelle",'Statistik für Mehrfachbest.'!P61)</f>
      </c>
      <c r="J50" s="151">
        <f>IF(ISBLANK('Statistik für Mehrfachbest.'!Q61),"leere Zelle",'Statistik für Mehrfachbest.'!Q61)</f>
      </c>
      <c r="K50" s="187" t="str">
        <f>IF(ISBLANK('Statistik für Mehrfachbest.'!M61),"leere Zelle",'Statistik für Mehrfachbest.'!M61)</f>
        <v>leere Zelle</v>
      </c>
    </row>
    <row r="51" spans="3:11" ht="15" customHeight="1">
      <c r="C51" s="206">
        <f>IF(ISBLANK('Statistik für Mehrfachbest.'!L32),"",'Statistik für Mehrfachbest.'!L32)</f>
      </c>
      <c r="D51" s="151">
        <f>IF(ISBLANK('Statistik für Mehrfachbest.'!P32),"leere Zelle",'Statistik für Mehrfachbest.'!P32)</f>
      </c>
      <c r="E51" s="151">
        <f>IF(ISBLANK('Statistik für Mehrfachbest.'!Q32),"leere Zelle",'Statistik für Mehrfachbest.'!Q32)</f>
      </c>
      <c r="F51" s="198" t="str">
        <f>IF(ISBLANK('Statistik für Mehrfachbest.'!M32),"leere Zelle",'Statistik für Mehrfachbest.'!M32)</f>
        <v>leere Zelle</v>
      </c>
      <c r="G51" s="319">
        <f>IF(ISBLANK('Statistik für Mehrfachbest.'!L62),"",'Statistik für Mehrfachbest.'!L62)</f>
      </c>
      <c r="H51" s="320"/>
      <c r="I51" s="151">
        <f>IF(ISBLANK('Statistik für Mehrfachbest.'!P62),"leere Zelle",'Statistik für Mehrfachbest.'!P62)</f>
      </c>
      <c r="J51" s="151">
        <f>IF(ISBLANK('Statistik für Mehrfachbest.'!Q62),"leere Zelle",'Statistik für Mehrfachbest.'!Q62)</f>
      </c>
      <c r="K51" s="187" t="str">
        <f>IF(ISBLANK('Statistik für Mehrfachbest.'!M62),"leere Zelle",'Statistik für Mehrfachbest.'!M62)</f>
        <v>leere Zelle</v>
      </c>
    </row>
    <row r="52" spans="3:11" ht="15" customHeight="1">
      <c r="C52" s="206">
        <f>IF(ISBLANK('Statistik für Mehrfachbest.'!L33),"",'Statistik für Mehrfachbest.'!L33)</f>
      </c>
      <c r="D52" s="151">
        <f>IF(ISBLANK('Statistik für Mehrfachbest.'!P33),"leere Zelle",'Statistik für Mehrfachbest.'!P33)</f>
      </c>
      <c r="E52" s="151">
        <f>IF(ISBLANK('Statistik für Mehrfachbest.'!Q33),"leere Zelle",'Statistik für Mehrfachbest.'!Q33)</f>
      </c>
      <c r="F52" s="198" t="str">
        <f>IF(ISBLANK('Statistik für Mehrfachbest.'!M33),"leere Zelle",'Statistik für Mehrfachbest.'!M33)</f>
        <v>leere Zelle</v>
      </c>
      <c r="G52" s="319">
        <f>IF(ISBLANK('Statistik für Mehrfachbest.'!L63),"",'Statistik für Mehrfachbest.'!L63)</f>
      </c>
      <c r="H52" s="320"/>
      <c r="I52" s="151">
        <f>IF(ISBLANK('Statistik für Mehrfachbest.'!P63),"leere Zelle",'Statistik für Mehrfachbest.'!P63)</f>
      </c>
      <c r="J52" s="151">
        <f>IF(ISBLANK('Statistik für Mehrfachbest.'!Q63),"leere Zelle",'Statistik für Mehrfachbest.'!Q63)</f>
      </c>
      <c r="K52" s="187" t="str">
        <f>IF(ISBLANK('Statistik für Mehrfachbest.'!M63),"leere Zelle",'Statistik für Mehrfachbest.'!M63)</f>
        <v>leere Zelle</v>
      </c>
    </row>
    <row r="53" spans="3:11" ht="15" customHeight="1">
      <c r="C53" s="206">
        <f>IF(ISBLANK('Statistik für Mehrfachbest.'!L34),"",'Statistik für Mehrfachbest.'!L34)</f>
      </c>
      <c r="D53" s="151">
        <f>IF(ISBLANK('Statistik für Mehrfachbest.'!P34),"leere Zelle",'Statistik für Mehrfachbest.'!P34)</f>
      </c>
      <c r="E53" s="151">
        <f>IF(ISBLANK('Statistik für Mehrfachbest.'!Q34),"leere Zelle",'Statistik für Mehrfachbest.'!Q34)</f>
      </c>
      <c r="F53" s="198" t="str">
        <f>IF(ISBLANK('Statistik für Mehrfachbest.'!M34),"leere Zelle",'Statistik für Mehrfachbest.'!M34)</f>
        <v>leere Zelle</v>
      </c>
      <c r="G53" s="319">
        <f>IF(ISBLANK('Statistik für Mehrfachbest.'!L64),"",'Statistik für Mehrfachbest.'!L64)</f>
      </c>
      <c r="H53" s="320"/>
      <c r="I53" s="151">
        <f>IF(ISBLANK('Statistik für Mehrfachbest.'!P64),"leere Zelle",'Statistik für Mehrfachbest.'!P64)</f>
      </c>
      <c r="J53" s="151">
        <f>IF(ISBLANK('Statistik für Mehrfachbest.'!Q64),"leere Zelle",'Statistik für Mehrfachbest.'!Q64)</f>
      </c>
      <c r="K53" s="187" t="str">
        <f>IF(ISBLANK('Statistik für Mehrfachbest.'!M64),"leere Zelle",'Statistik für Mehrfachbest.'!M64)</f>
        <v>leere Zelle</v>
      </c>
    </row>
    <row r="54" spans="3:11" ht="15" customHeight="1">
      <c r="C54" s="206">
        <f>IF(ISBLANK('Statistik für Mehrfachbest.'!L35),"",'Statistik für Mehrfachbest.'!L35)</f>
      </c>
      <c r="D54" s="151">
        <f>IF(ISBLANK('Statistik für Mehrfachbest.'!P35),"leere Zelle",'Statistik für Mehrfachbest.'!P35)</f>
      </c>
      <c r="E54" s="151">
        <f>IF(ISBLANK('Statistik für Mehrfachbest.'!Q35),"leere Zelle",'Statistik für Mehrfachbest.'!Q35)</f>
      </c>
      <c r="F54" s="198" t="str">
        <f>IF(ISBLANK('Statistik für Mehrfachbest.'!M35),"leere Zelle",'Statistik für Mehrfachbest.'!M35)</f>
        <v>leere Zelle</v>
      </c>
      <c r="G54" s="319">
        <f>IF(ISBLANK('Statistik für Mehrfachbest.'!L65),"",'Statistik für Mehrfachbest.'!L65)</f>
      </c>
      <c r="H54" s="320"/>
      <c r="I54" s="151">
        <f>IF(ISBLANK('Statistik für Mehrfachbest.'!P65),"leere Zelle",'Statistik für Mehrfachbest.'!P65)</f>
      </c>
      <c r="J54" s="151">
        <f>IF(ISBLANK('Statistik für Mehrfachbest.'!Q65),"leere Zelle",'Statistik für Mehrfachbest.'!Q65)</f>
      </c>
      <c r="K54" s="187" t="str">
        <f>IF(ISBLANK('Statistik für Mehrfachbest.'!M65),"leere Zelle",'Statistik für Mehrfachbest.'!M65)</f>
        <v>leere Zelle</v>
      </c>
    </row>
    <row r="55" spans="3:11" ht="15" customHeight="1" thickBot="1">
      <c r="C55" s="207">
        <f>IF(ISBLANK('Statistik für Mehrfachbest.'!L36),"",'Statistik für Mehrfachbest.'!L36)</f>
      </c>
      <c r="D55" s="152">
        <f>IF(ISBLANK('Statistik für Mehrfachbest.'!P36),"leere Zelle",'Statistik für Mehrfachbest.'!P36)</f>
      </c>
      <c r="E55" s="152">
        <f>IF(ISBLANK('Statistik für Mehrfachbest.'!Q36),"leere Zelle",'Statistik für Mehrfachbest.'!Q36)</f>
      </c>
      <c r="F55" s="203" t="str">
        <f>IF(ISBLANK('Statistik für Mehrfachbest.'!M36),"leere Zelle",'Statistik für Mehrfachbest.'!M36)</f>
        <v>leere Zelle</v>
      </c>
      <c r="G55" s="321">
        <f>IF(ISBLANK('Statistik für Mehrfachbest.'!L66),"",'Statistik für Mehrfachbest.'!L66)</f>
      </c>
      <c r="H55" s="322"/>
      <c r="I55" s="152">
        <f>IF(ISBLANK('Statistik für Mehrfachbest.'!P66),"leere Zelle",'Statistik für Mehrfachbest.'!P66)</f>
      </c>
      <c r="J55" s="152">
        <f>IF(ISBLANK('Statistik für Mehrfachbest.'!Q66),"leere Zelle",'Statistik für Mehrfachbest.'!Q66)</f>
      </c>
      <c r="K55" s="204" t="str">
        <f>IF(ISBLANK('Statistik für Mehrfachbest.'!M66),"leere Zelle",'Statistik für Mehrfachbest.'!M66)</f>
        <v>leere Zelle</v>
      </c>
    </row>
    <row r="56" spans="1:2" ht="13.5" thickTop="1">
      <c r="A56" s="135" t="s">
        <v>126</v>
      </c>
      <c r="B56" s="114"/>
    </row>
    <row r="57" ht="10.5" customHeight="1">
      <c r="A57" s="180" t="s">
        <v>92</v>
      </c>
    </row>
    <row r="58" s="14" customFormat="1" ht="10.5" customHeight="1">
      <c r="A58" s="180" t="s">
        <v>98</v>
      </c>
    </row>
    <row r="59" spans="1:13" ht="12.75" customHeight="1">
      <c r="A59" s="150" t="s">
        <v>72</v>
      </c>
      <c r="L59" s="179"/>
      <c r="M59" s="179">
        <f>IF(ISBLANK(F2),"","Bericht: "&amp;F2&amp;"  ")</f>
      </c>
    </row>
    <row r="60" s="14" customFormat="1" ht="7.5" customHeight="1">
      <c r="A60" s="115"/>
    </row>
    <row r="61" spans="1:6" ht="15" customHeight="1">
      <c r="A61" s="1" t="str">
        <f>'Statistik für Mehrfachbest.'!R12</f>
        <v>Anzahl Messwerte</v>
      </c>
      <c r="F61" s="116" t="str">
        <f>"N = "&amp;'Statistik für Mehrfachbest.'!T12</f>
        <v>N = 10</v>
      </c>
    </row>
    <row r="62" spans="1:6" ht="15" customHeight="1">
      <c r="A62" s="1" t="str">
        <f>"Signifikanzniveau  P = "&amp;'Statistik für Mehrfachbest.'!S10&amp;"%   =&gt;"</f>
        <v>Signifikanzniveau  P = 99%   =&gt;</v>
      </c>
      <c r="F62" s="117" t="str">
        <f>"Alpha = "&amp;(100-'Statistik für Mehrfachbest.'!S10)/100</f>
        <v>Alpha = 0,01</v>
      </c>
    </row>
    <row r="63" spans="1:8" ht="15.75" customHeight="1">
      <c r="A63" s="1" t="s">
        <v>123</v>
      </c>
      <c r="D63" s="47"/>
      <c r="E63" s="47"/>
      <c r="F63" s="116">
        <f>SUM('Statistik für Mehrfachbest.'!O7:O66)</f>
        <v>0</v>
      </c>
      <c r="G63" s="47"/>
      <c r="H63" s="96" t="str">
        <f>"Grubbs-Test, P = "&amp;'Stat. Vergleichstabellen'!L37&amp;"%"</f>
        <v>Grubbs-Test, P = 99%</v>
      </c>
    </row>
    <row r="64" spans="4:7" ht="12.75">
      <c r="D64" s="47"/>
      <c r="E64" s="47"/>
      <c r="F64" s="47"/>
      <c r="G64" s="47"/>
    </row>
    <row r="65" spans="4:7" ht="7.5" customHeight="1">
      <c r="D65" s="118"/>
      <c r="E65" s="119"/>
      <c r="F65" s="119"/>
      <c r="G65" s="120"/>
    </row>
    <row r="66" ht="12.75" customHeight="1">
      <c r="A66" s="150" t="s">
        <v>83</v>
      </c>
    </row>
    <row r="67" spans="4:7" ht="12.75">
      <c r="D67" s="122"/>
      <c r="E67" s="123"/>
      <c r="F67" s="123"/>
      <c r="G67" s="124"/>
    </row>
    <row r="68" spans="1:7" ht="12.75" customHeight="1">
      <c r="A68" s="140" t="str">
        <f>'Statistik für Mehrfachbest.'!R14</f>
        <v>Mittelwert der Messwerte</v>
      </c>
      <c r="D68" s="125" t="s">
        <v>20</v>
      </c>
      <c r="F68" s="183" t="str">
        <f>'Statistik für Mehrfachbest.'!T14</f>
        <v>2,50 </v>
      </c>
      <c r="G68" s="126"/>
    </row>
    <row r="69" spans="1:7" ht="12.75">
      <c r="A69" s="1" t="str">
        <f>'Statistik für Mehrfachbest.'!R15</f>
        <v> -&gt; Median</v>
      </c>
      <c r="D69" s="125"/>
      <c r="F69" s="137" t="str">
        <f>'Statistik für Mehrfachbest.'!T15</f>
        <v>2,00 </v>
      </c>
      <c r="G69" s="126"/>
    </row>
    <row r="70" spans="4:7" ht="7.5" customHeight="1">
      <c r="D70" s="125"/>
      <c r="F70" s="137"/>
      <c r="G70" s="127"/>
    </row>
    <row r="71" spans="1:8" ht="12.75" customHeight="1">
      <c r="A71" s="140" t="str">
        <f>'Statistik für Mehrfachbest.'!R17</f>
        <v>Standardabweichung</v>
      </c>
      <c r="D71" s="125" t="s">
        <v>5</v>
      </c>
      <c r="F71" s="183" t="str">
        <f>'Statistik für Mehrfachbest.'!T17</f>
        <v>2,718 </v>
      </c>
      <c r="G71" s="119"/>
      <c r="H71" s="139" t="str">
        <f>'Statistik für Mehrfachbest.'!V17</f>
        <v>(Wiederholstandardabweichung)</v>
      </c>
    </row>
    <row r="72" spans="1:7" ht="7.5" customHeight="1">
      <c r="A72" s="140"/>
      <c r="D72" s="125"/>
      <c r="F72" s="137"/>
      <c r="G72" s="119"/>
    </row>
    <row r="73" spans="1:7" ht="12.75" customHeight="1">
      <c r="A73" s="192" t="str">
        <f>'Statistik für Mehrfachbest.'!R18</f>
        <v>Streubreite der Messserie</v>
      </c>
      <c r="D73" s="125" t="s">
        <v>111</v>
      </c>
      <c r="E73" s="51" t="s">
        <v>113</v>
      </c>
      <c r="F73" s="194" t="str">
        <f>'Statistik für Mehrfachbest.'!T18</f>
        <v>8,155 </v>
      </c>
      <c r="G73" s="119"/>
    </row>
    <row r="74" spans="1:7" ht="7.5" customHeight="1">
      <c r="A74" s="140"/>
      <c r="D74" s="125"/>
      <c r="F74" s="137"/>
      <c r="G74" s="119"/>
    </row>
    <row r="75" spans="1:8" ht="12.75">
      <c r="A75" s="140" t="str">
        <f>'Statistik für Mehrfachbest.'!R20</f>
        <v>Wiederholgrenze (P=95%)</v>
      </c>
      <c r="D75" s="193" t="str">
        <f>'Statistik für Mehrfachbest.'!S20</f>
        <v>r</v>
      </c>
      <c r="F75" s="140" t="str">
        <f>'Statistik für Mehrfachbest.'!T20</f>
        <v>7,530 </v>
      </c>
      <c r="H75" s="139" t="str">
        <f>"gemäß"&amp;'Statistik für Mehrfachbest.'!V20</f>
        <v>gemäß (DIN ISO 5725)</v>
      </c>
    </row>
    <row r="76" spans="1:7" ht="12.75" customHeight="1">
      <c r="A76" s="96" t="str">
        <f>'Statistik für Mehrfachbest.'!R21</f>
        <v>        =&gt;  301,2% vom Mittelwert</v>
      </c>
      <c r="D76" s="125"/>
      <c r="F76" s="137"/>
      <c r="G76" s="119"/>
    </row>
    <row r="77" spans="1:7" ht="7.5" customHeight="1">
      <c r="A77" s="96"/>
      <c r="D77" s="125"/>
      <c r="F77" s="137"/>
      <c r="G77" s="119"/>
    </row>
    <row r="78" spans="1:7" ht="12.75" customHeight="1">
      <c r="A78" s="140" t="str">
        <f>'Statistik für Mehrfachbest.'!R22</f>
        <v>Sollwert</v>
      </c>
      <c r="D78" s="125"/>
      <c r="F78" s="183" t="str">
        <f>'Statistik für Mehrfachbest.'!T22</f>
        <v>2 </v>
      </c>
      <c r="G78" s="119"/>
    </row>
    <row r="79" spans="1:8" ht="12.75">
      <c r="A79" s="192" t="str">
        <f>'Statistik für Mehrfachbest.'!R23</f>
        <v>Differenz zum Mittelwert</v>
      </c>
      <c r="D79" s="125" t="str">
        <f>'Statistik für Mehrfachbest.'!S23</f>
        <v>d</v>
      </c>
      <c r="F79" s="137" t="str">
        <f>IF(F78="nicht angegeben","",'Statistik für Mehrfachbest.'!T23)</f>
        <v>0,500 </v>
      </c>
      <c r="H79" s="138"/>
    </row>
    <row r="80" spans="1:8" ht="12.75">
      <c r="A80" s="96" t="str">
        <f>'Statistik für Mehrfachbest.'!R24</f>
        <v>        =&gt;  25,0%  relativ zum Sollwert</v>
      </c>
      <c r="D80" s="125"/>
      <c r="F80" s="137"/>
      <c r="H80" s="138"/>
    </row>
    <row r="81" spans="4:8" ht="7.5" customHeight="1">
      <c r="D81" s="125"/>
      <c r="F81" s="137"/>
      <c r="H81" s="138"/>
    </row>
    <row r="82" ht="12.75" customHeight="1">
      <c r="A82" s="150" t="str">
        <f>'Statistik für Mehrfachbest.'!R25&amp;" "&amp;'Statistik für Mehrfachbest.'!R26</f>
        <v>Unsicherheit des Analysenergebnisses</v>
      </c>
    </row>
    <row r="83" spans="1:8" ht="15">
      <c r="A83" s="140" t="str">
        <f>"der "&amp;'Statistik für Mehrfachbest.'!T12&amp;"-fach Bestimmung"</f>
        <v>der 10-fach Bestimmung</v>
      </c>
      <c r="D83" s="51"/>
      <c r="E83" s="184" t="s">
        <v>41</v>
      </c>
      <c r="F83" s="137" t="str">
        <f>'Statistik für Mehrfachbest.'!T26</f>
        <v>2,794 </v>
      </c>
      <c r="H83" s="139" t="str">
        <f>'Statistik für Mehrfachbest.'!U26</f>
        <v>(-&gt; Vertrauensbereich)</v>
      </c>
    </row>
    <row r="84" spans="1:8" ht="12.75">
      <c r="A84" s="96" t="str">
        <f>'Statistik für Mehrfachbest.'!R27</f>
        <v>        =&gt;  ± 111,7%  relativ zum Mittelwert!</v>
      </c>
      <c r="D84" s="125"/>
      <c r="F84" s="137"/>
      <c r="H84" s="138"/>
    </row>
    <row r="85" spans="4:8" ht="7.5" customHeight="1">
      <c r="D85" s="125"/>
      <c r="F85" s="137"/>
      <c r="H85" s="138"/>
    </row>
    <row r="86" spans="1:8" ht="12.75">
      <c r="A86" s="1" t="str">
        <f>'Statistik für Mehrfachbest.'!R28</f>
        <v>entspricht einem</v>
      </c>
      <c r="D86" s="125" t="str">
        <f>'Statistik für Mehrfachbest.'!S28</f>
        <v>von:</v>
      </c>
      <c r="F86" s="137" t="str">
        <f>'Statistik für Mehrfachbest.'!T28</f>
        <v>-0,29 </v>
      </c>
      <c r="H86" s="138"/>
    </row>
    <row r="87" spans="1:8" ht="12.75">
      <c r="A87" s="1" t="str">
        <f>'Statistik für Mehrfachbest.'!R29</f>
        <v>Vertrauensbereich</v>
      </c>
      <c r="D87" s="125" t="str">
        <f>'Statistik für Mehrfachbest.'!S29</f>
        <v>bis:</v>
      </c>
      <c r="F87" s="137" t="str">
        <f>'Statistik für Mehrfachbest.'!T29</f>
        <v>5,29 </v>
      </c>
      <c r="H87" s="138"/>
    </row>
    <row r="88" spans="4:8" ht="12.75">
      <c r="D88" s="125"/>
      <c r="F88" s="137"/>
      <c r="H88" s="138"/>
    </row>
    <row r="89" spans="1:6" ht="12.75">
      <c r="A89" s="140" t="str">
        <f>'Statistik für Mehrfachbest.'!R31</f>
        <v>Variationskoeffizient:</v>
      </c>
      <c r="D89" s="125" t="str">
        <f>'Statistik für Mehrfachbest.'!S31</f>
        <v>RSD%</v>
      </c>
      <c r="F89" s="183" t="str">
        <f>'Statistik für Mehrfachbest.'!T31</f>
        <v>108,7%</v>
      </c>
    </row>
    <row r="90" spans="4:8" ht="10.5" customHeight="1">
      <c r="D90" s="125"/>
      <c r="F90" s="137"/>
      <c r="H90" s="139" t="str">
        <f>'Statistik für Mehrfachbest.'!U32</f>
        <v>(-&gt; Wiederholpräzision)</v>
      </c>
    </row>
    <row r="91" spans="1:8" ht="12.75">
      <c r="A91" s="140" t="str">
        <f>'Statistik für Mehrfachbest.'!R33</f>
        <v> =&gt;  rel. Präzision %</v>
      </c>
      <c r="D91" s="125"/>
      <c r="F91" s="137" t="str">
        <f>'Statistik für Mehrfachbest.'!T33</f>
        <v>Meßwertschwankung zu hoch!</v>
      </c>
      <c r="H91" s="138"/>
    </row>
    <row r="92" spans="1:3" s="14" customFormat="1" ht="12.75">
      <c r="A92" s="141" t="str">
        <f>'Statistik für Mehrfachbest.'!R34</f>
        <v>Maßzahl für die Wiederholbarkeit  =&gt; (100% - Variationskoeffizient%)</v>
      </c>
      <c r="B92" s="143"/>
      <c r="C92" s="143"/>
    </row>
    <row r="93" spans="1:8" s="14" customFormat="1" ht="12.75">
      <c r="A93" s="141"/>
      <c r="D93" s="142"/>
      <c r="E93" s="143"/>
      <c r="F93" s="143"/>
      <c r="H93" s="144"/>
    </row>
    <row r="94" s="14" customFormat="1" ht="12.75"/>
    <row r="95" ht="12.75" customHeight="1">
      <c r="A95" s="150" t="s">
        <v>97</v>
      </c>
    </row>
    <row r="96" ht="12.75">
      <c r="A96" s="1" t="str">
        <f>"( "&amp;'Statistik für Mehrfachbest.'!S36&amp;" )"</f>
        <v>(  =&gt;  xm ±Txm [EINHEIT] (±Sx; P%; n) )</v>
      </c>
    </row>
    <row r="97" ht="7.5" customHeight="1"/>
    <row r="98" ht="16.5" customHeight="1">
      <c r="C98" s="145" t="str">
        <f>'Statistik für Mehrfachbest.'!R37</f>
        <v>(2,50  ± 2,794 [EINHEIT] (± 2,718; 99%; 10)</v>
      </c>
    </row>
    <row r="101" ht="12.75" customHeight="1">
      <c r="A101" s="150" t="s">
        <v>87</v>
      </c>
    </row>
    <row r="102" ht="12.75">
      <c r="A102" s="147" t="s">
        <v>88</v>
      </c>
    </row>
    <row r="103" ht="12.75">
      <c r="A103" s="147" t="s">
        <v>89</v>
      </c>
    </row>
    <row r="105" ht="12.75">
      <c r="A105" s="121" t="str">
        <f>'Statistik für Mehrfachbest.'!R40&amp;" "&amp;'Statistik für Mehrfachbest.'!R41</f>
        <v>Neumann-TRENDTEST: (P=99%)</v>
      </c>
    </row>
    <row r="106" ht="7.5" customHeight="1">
      <c r="A106" s="146"/>
    </row>
    <row r="107" ht="12.75">
      <c r="A107" s="1" t="str">
        <f>IF('Statistik für Mehrfachbest.'!T40="siehe oben",'Statistik für Mehrfachbest.'!R39,IF(ISTEXT('Statistik für Mehrfachbest.'!T40),'Statistik für Mehrfachbest.'!T40,"Prüfgröße:           "&amp;'Statistik für Mehrfachbest.'!S40&amp;ROUND('Statistik für Mehrfachbest.'!T40,'Statistik für Mehrfachbest.'!S$8)))</f>
        <v>Prüfgröße:           PG=2,075</v>
      </c>
    </row>
    <row r="108" ht="12.75">
      <c r="A108" s="1" t="str">
        <f>IF(ISTEXT('Statistik für Mehrfachbest.'!T40),"","Vergleichsgröße: "&amp;'Statistik für Mehrfachbest.'!S41&amp;ROUND('Statistik für Mehrfachbest.'!T41,'Statistik für Mehrfachbest.'!S$8))</f>
        <v>Vergleichsgröße: VG=0,752</v>
      </c>
    </row>
    <row r="109" ht="7.5" customHeight="1"/>
    <row r="110" spans="1:5" s="14" customFormat="1" ht="12.75">
      <c r="A110" s="149" t="s">
        <v>90</v>
      </c>
      <c r="D110" s="162" t="str">
        <f>IF(ISTEXT('Statistik für Mehrfachbest.'!T40),"Auswertung nicht möglich",'Statistik für Mehrfachbest.'!U40)</f>
        <v>kein Trend erkennbar</v>
      </c>
      <c r="E110" s="162"/>
    </row>
    <row r="111" spans="1:12" s="14" customFormat="1" ht="7.5" customHeight="1">
      <c r="A111" s="148"/>
      <c r="B111" s="12"/>
      <c r="C111" s="12"/>
      <c r="D111" s="148"/>
      <c r="E111" s="12"/>
      <c r="F111" s="12"/>
      <c r="G111" s="12"/>
      <c r="H111" s="12"/>
      <c r="I111" s="12"/>
      <c r="J111" s="12"/>
      <c r="K111" s="12"/>
      <c r="L111" s="12"/>
    </row>
    <row r="112" ht="7.5" customHeight="1"/>
    <row r="113" ht="12.75">
      <c r="A113" s="121" t="str">
        <f>'Statistik für Mehrfachbest.'!R45</f>
        <v>David-Test: (P=99%)</v>
      </c>
    </row>
    <row r="114" ht="7.5" customHeight="1"/>
    <row r="115" ht="12.75">
      <c r="A115" s="1" t="str">
        <f>IF(ISTEXT('Statistik für Mehrfachbest.'!T45),'Statistik für Mehrfachbest.'!T45,"Prüfgröße:                   "&amp;'Statistik für Mehrfachbest.'!S45&amp;ROUND('Statistik für Mehrfachbest.'!T45,'Statistik für Mehrfachbest.'!S$8))</f>
        <v>Prüfgröße:                   PG=3,31</v>
      </c>
    </row>
    <row r="116" ht="12.75">
      <c r="A116" s="15" t="str">
        <f>IF(ISTEXT('Statistik für Mehrfachbest.'!T45),"",'Statistik für Mehrfachbest.'!R46&amp;"   "&amp;'Statistik für Mehrfachbest.'!S46&amp;ROUND('Statistik für Mehrfachbest.'!T46,'Statistik für Mehrfachbest.'!S8))</f>
        <v>     -&gt; untere Grenze:   UG=2,51</v>
      </c>
    </row>
    <row r="117" ht="12.75">
      <c r="A117" s="15" t="str">
        <f>IF(ISTEXT('Statistik für Mehrfachbest.'!T45),"",'Statistik für Mehrfachbest.'!R47&amp;"    "&amp;'Statistik für Mehrfachbest.'!S47&amp;ROUND('Statistik für Mehrfachbest.'!T47,'Statistik für Mehrfachbest.'!S8))</f>
        <v>     -&gt; obere Grenze:    OG=3,88</v>
      </c>
    </row>
    <row r="118" ht="7.5" customHeight="1"/>
    <row r="119" spans="1:5" s="14" customFormat="1" ht="12.75">
      <c r="A119" s="149" t="s">
        <v>90</v>
      </c>
      <c r="D119" s="116" t="str">
        <f>IF(ISTEXT('Statistik für Mehrfachbest.'!T45),"   Auswertung nicht möglich",'Statistik für Mehrfachbest.'!U45)</f>
        <v>es kann Normalverteilung angenommen werden</v>
      </c>
      <c r="E119" s="161"/>
    </row>
    <row r="120" spans="1:12" ht="7.5" customHeight="1">
      <c r="A120" s="148"/>
      <c r="B120" s="12"/>
      <c r="C120" s="12"/>
      <c r="D120" s="163"/>
      <c r="E120" s="163"/>
      <c r="F120" s="12"/>
      <c r="G120" s="12"/>
      <c r="H120" s="12"/>
      <c r="I120" s="12"/>
      <c r="J120" s="12"/>
      <c r="K120" s="12"/>
      <c r="L120" s="12"/>
    </row>
    <row r="121" ht="7.5" customHeight="1"/>
    <row r="122" ht="12.75">
      <c r="A122" s="121" t="str">
        <f>'Statistik für Mehrfachbest.'!R49&amp;"  "&amp;'Statistik für Mehrfachbest.'!R50</f>
        <v>Sollwert T-Test (zweiseitig):  (P = 99% )</v>
      </c>
    </row>
    <row r="123" ht="7.5" customHeight="1"/>
    <row r="124" spans="1:9" s="14" customFormat="1" ht="12.75" customHeight="1">
      <c r="A124" s="149" t="s">
        <v>90</v>
      </c>
      <c r="D124" s="327" t="str">
        <f>IF('Statistik für Mehrfachbest.'!R51="Kein signifikanter Unterschied des Mittelwertes vom Sollwert nachweisbar","Kein signifikanter Unterschied des Mittelwertes",'Statistik für Mehrfachbest.'!R51)</f>
        <v>Kein signifikanter Unterschied des Mittelwertes</v>
      </c>
      <c r="E124" s="327"/>
      <c r="F124" s="327"/>
      <c r="G124" s="327"/>
      <c r="H124" s="327"/>
      <c r="I124" s="327"/>
    </row>
    <row r="125" spans="1:9" s="14" customFormat="1" ht="12.75" customHeight="1">
      <c r="A125" s="149"/>
      <c r="D125" s="327" t="str">
        <f>IF('Statistik für Mehrfachbest.'!R51="Kein signifikanter Unterschied des Mittelwertes vom Sollwert nachweisbar","vom Sollwert nachweisbar","")</f>
        <v>vom Sollwert nachweisbar</v>
      </c>
      <c r="E125" s="327"/>
      <c r="F125" s="327"/>
      <c r="G125" s="327"/>
      <c r="H125" s="327"/>
      <c r="I125" s="327"/>
    </row>
    <row r="126" spans="1:12" ht="7.5" customHeight="1">
      <c r="A126" s="148"/>
      <c r="B126" s="12"/>
      <c r="C126" s="12"/>
      <c r="D126" s="148"/>
      <c r="E126" s="12"/>
      <c r="F126" s="12"/>
      <c r="G126" s="12"/>
      <c r="H126" s="12"/>
      <c r="I126" s="12"/>
      <c r="J126" s="12"/>
      <c r="K126" s="12"/>
      <c r="L126" s="12"/>
    </row>
    <row r="127" ht="7.5" customHeight="1"/>
    <row r="129" ht="12.75" customHeight="1">
      <c r="A129" s="150" t="s">
        <v>91</v>
      </c>
    </row>
    <row r="130" ht="7.5" customHeight="1"/>
  </sheetData>
  <sheetProtection sheet="1" objects="1" scenarios="1" selectLockedCells="1"/>
  <mergeCells count="55">
    <mergeCell ref="D125:I125"/>
    <mergeCell ref="F2:M2"/>
    <mergeCell ref="A12:M12"/>
    <mergeCell ref="A13:M13"/>
    <mergeCell ref="D17:F17"/>
    <mergeCell ref="F6:H6"/>
    <mergeCell ref="G17:I17"/>
    <mergeCell ref="F3:M3"/>
    <mergeCell ref="F4:M4"/>
    <mergeCell ref="F5:M5"/>
    <mergeCell ref="F7:H7"/>
    <mergeCell ref="F8:M8"/>
    <mergeCell ref="D9:M9"/>
    <mergeCell ref="A10:M10"/>
    <mergeCell ref="D124:I124"/>
    <mergeCell ref="A11:M11"/>
    <mergeCell ref="G18:I18"/>
    <mergeCell ref="D18:F18"/>
    <mergeCell ref="G24:H24"/>
    <mergeCell ref="G25:H25"/>
    <mergeCell ref="G26:H26"/>
    <mergeCell ref="G27:H27"/>
    <mergeCell ref="G28:H28"/>
    <mergeCell ref="G29:H29"/>
    <mergeCell ref="G30:H30"/>
    <mergeCell ref="G31:H31"/>
    <mergeCell ref="G32:H32"/>
    <mergeCell ref="G33:H33"/>
    <mergeCell ref="G39:H39"/>
    <mergeCell ref="G40:H40"/>
    <mergeCell ref="G41:H41"/>
    <mergeCell ref="G34:H34"/>
    <mergeCell ref="G35:H35"/>
    <mergeCell ref="G36:H36"/>
    <mergeCell ref="G37:H37"/>
    <mergeCell ref="G55:H55"/>
    <mergeCell ref="D19:F19"/>
    <mergeCell ref="G19:I19"/>
    <mergeCell ref="G50:H50"/>
    <mergeCell ref="G51:H51"/>
    <mergeCell ref="G52:H52"/>
    <mergeCell ref="G53:H53"/>
    <mergeCell ref="G46:H46"/>
    <mergeCell ref="G47:H47"/>
    <mergeCell ref="G48:H48"/>
    <mergeCell ref="J17:K17"/>
    <mergeCell ref="J18:K18"/>
    <mergeCell ref="J19:K19"/>
    <mergeCell ref="G54:H54"/>
    <mergeCell ref="G49:H49"/>
    <mergeCell ref="G42:H42"/>
    <mergeCell ref="G43:H43"/>
    <mergeCell ref="G44:H44"/>
    <mergeCell ref="G45:H45"/>
    <mergeCell ref="G38:H38"/>
  </mergeCells>
  <conditionalFormatting sqref="F26:F55 K26:K55">
    <cfRule type="cellIs" priority="1" dxfId="11" operator="equal" stopIfTrue="1">
      <formula>"leere Zelle"</formula>
    </cfRule>
    <cfRule type="cellIs" priority="2" dxfId="10" operator="notBetween" stopIfTrue="1">
      <formula>-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
      <formula>1E+307</formula>
    </cfRule>
  </conditionalFormatting>
  <conditionalFormatting sqref="D26:E55 I26:J55">
    <cfRule type="cellIs" priority="3" dxfId="12" operator="equal" stopIfTrue="1">
      <formula>"û"</formula>
    </cfRule>
    <cfRule type="cellIs" priority="4" dxfId="13" operator="equal" stopIfTrue="1">
      <formula>"ü"</formula>
    </cfRule>
    <cfRule type="cellIs" priority="5" dxfId="0" operator="equal" stopIfTrue="1">
      <formula>"L"</formula>
    </cfRule>
  </conditionalFormatting>
  <conditionalFormatting sqref="D110:E110">
    <cfRule type="cellIs" priority="6" dxfId="0" operator="equal" stopIfTrue="1">
      <formula>"siehe oben"</formula>
    </cfRule>
    <cfRule type="cellIs" priority="7" dxfId="2" operator="equal" stopIfTrue="1">
      <formula>"es liegt ein Trend vor!"</formula>
    </cfRule>
  </conditionalFormatting>
  <conditionalFormatting sqref="D125">
    <cfRule type="cellIs" priority="8" dxfId="0" operator="equal" stopIfTrue="1">
      <formula>"SYSTEMATISCHER METHODENFEHLER,                keine Vergleichbarkeit zum Sollwert!"</formula>
    </cfRule>
    <cfRule type="cellIs" priority="9" dxfId="1" operator="equal" stopIfTrue="1">
      <formula>"kein Sollwert angegeben!"</formula>
    </cfRule>
    <cfRule type="cellIs" priority="10" dxfId="2" operator="equal" stopIfTrue="1">
      <formula>"Warscheinlichkeitsniveau ?"</formula>
    </cfRule>
  </conditionalFormatting>
  <conditionalFormatting sqref="F83 F86:F87 C98">
    <cfRule type="cellIs" priority="11" dxfId="2" operator="equal" stopIfTrue="1">
      <formula>"P ?"</formula>
    </cfRule>
  </conditionalFormatting>
  <conditionalFormatting sqref="D124:I124">
    <cfRule type="cellIs" priority="12" dxfId="0" operator="equal" stopIfTrue="1">
      <formula>"Der Mittelwert unterscheidet sich signifikant vom Sollwert!"</formula>
    </cfRule>
    <cfRule type="cellIs" priority="13" dxfId="1" operator="equal" stopIfTrue="1">
      <formula>"kein Sollwert angegeben!"</formula>
    </cfRule>
    <cfRule type="cellIs" priority="14" dxfId="2" operator="equal" stopIfTrue="1">
      <formula>"Warscheinlichkeitsniveau ?"</formula>
    </cfRule>
  </conditionalFormatting>
  <conditionalFormatting sqref="D119">
    <cfRule type="cellIs" priority="15" dxfId="2" operator="equal" stopIfTrue="1">
      <formula>"es liegt  KEINE  Normalverteilung vor!"</formula>
    </cfRule>
  </conditionalFormatting>
  <printOptions/>
  <pageMargins left="0.7874015748031497" right="0.5905511811023623" top="0.5905511811023623" bottom="0.5905511811023623" header="0.3937007874015748" footer="0.31496062992125984"/>
  <pageSetup horizontalDpi="600" verticalDpi="600" orientation="portrait" paperSize="9" scale="74" r:id="rId2"/>
  <headerFooter alignWithMargins="0">
    <oddFooter>&amp;L&amp;"Arial,Kursiv"&amp;8&amp;F&amp;R&amp;"Arial,Kursiv"Seite &amp;P von &amp;N</oddFooter>
  </headerFooter>
  <rowBreaks count="1" manualBreakCount="1">
    <brk id="5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Informationsverarbeitung</dc:creator>
  <cp:keywords/>
  <dc:description/>
  <cp:lastModifiedBy>Lars</cp:lastModifiedBy>
  <cp:lastPrinted>2014-10-04T11:03:51Z</cp:lastPrinted>
  <dcterms:created xsi:type="dcterms:W3CDTF">2000-07-04T07:40:02Z</dcterms:created>
  <dcterms:modified xsi:type="dcterms:W3CDTF">2017-05-18T19:19:30Z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