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75" tabRatio="879" activeTab="0"/>
  </bookViews>
  <sheets>
    <sheet name="Deckblatt" sheetId="1" r:id="rId1"/>
    <sheet name="Anleitung zum Ausfüllen" sheetId="2" r:id="rId2"/>
    <sheet name="Waagenkalibrierung_DKD-R_7-1" sheetId="3" r:id="rId3"/>
    <sheet name="Ermittlung der Nennmasse" sheetId="4" r:id="rId4"/>
    <sheet name="Korrektur-Wägewert" sheetId="5" r:id="rId5"/>
    <sheet name="Notizen" sheetId="6" r:id="rId6"/>
    <sheet name="Prüfdatensatz" sheetId="7" state="hidden" r:id="rId7"/>
    <sheet name="Fehlergrenzklassen-Massestücke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" localSheetId="3">#REF!</definedName>
    <definedName name="a">#REF!</definedName>
    <definedName name="aq" localSheetId="3">#REF!</definedName>
    <definedName name="aq">#REF!</definedName>
    <definedName name="b" localSheetId="3">#REF!</definedName>
    <definedName name="b">#REF!</definedName>
    <definedName name="bq" localSheetId="3">#REF!</definedName>
    <definedName name="bq">#REF!</definedName>
    <definedName name="cq" localSheetId="3">#REF!</definedName>
    <definedName name="cq">#REF!</definedName>
    <definedName name="_xlnm.Print_Area" localSheetId="1">'Anleitung zum Ausfüllen'!$A$1:$A$20</definedName>
    <definedName name="_xlnm.Print_Area" localSheetId="3">'Ermittlung der Nennmasse'!$A$1:$J$40</definedName>
    <definedName name="_xlnm.Print_Area" localSheetId="7">'Fehlergrenzklassen-Massestücke'!$A$1:$H$38</definedName>
    <definedName name="_xlnm.Print_Area" localSheetId="2">'Waagenkalibrierung_DKD-R_7-1'!$A$1:$J$86</definedName>
    <definedName name="EGa" localSheetId="3">#REF!</definedName>
    <definedName name="EGa">#REF!</definedName>
    <definedName name="EGb" localSheetId="3">#REF!</definedName>
    <definedName name="EGb">#REF!</definedName>
    <definedName name="fn" localSheetId="3">#REF!</definedName>
    <definedName name="fn">#REF!</definedName>
    <definedName name="fz" localSheetId="3">#REF!</definedName>
    <definedName name="fz">#REF!</definedName>
    <definedName name="Informationswerte" localSheetId="3">#REF!</definedName>
    <definedName name="Informationswerte">#REF!</definedName>
    <definedName name="Konzentrationswerte" localSheetId="3">#REF!</definedName>
    <definedName name="Konzentrationswerte">#REF!</definedName>
    <definedName name="M" localSheetId="3">#REF!</definedName>
    <definedName name="M">#REF!</definedName>
    <definedName name="MW" localSheetId="3">#REF!</definedName>
    <definedName name="MW">#REF!</definedName>
    <definedName name="My" localSheetId="3">#REF!</definedName>
    <definedName name="My">#REF!</definedName>
    <definedName name="N" localSheetId="3">#REF!</definedName>
    <definedName name="N">#REF!</definedName>
    <definedName name="NGa" localSheetId="3">#REF!</definedName>
    <definedName name="NGa">#REF!</definedName>
    <definedName name="NGb" localSheetId="3">#REF!</definedName>
    <definedName name="NGb">#REF!</definedName>
    <definedName name="otest" localSheetId="3">'[5]Arbeitsbereich'!$D$10:$D$19</definedName>
    <definedName name="otest">'[2]Arbeitsbereich'!$D$10:$D$19</definedName>
    <definedName name="ovar" localSheetId="3">'[5]Grubbs'!$E$7</definedName>
    <definedName name="ovar">'[2]Grubbs'!$E$7</definedName>
    <definedName name="Qx" localSheetId="3">#REF!</definedName>
    <definedName name="Qx">#REF!</definedName>
    <definedName name="sx0" localSheetId="3">#REF!</definedName>
    <definedName name="sx0">#REF!</definedName>
    <definedName name="syx" localSheetId="3">#REF!</definedName>
    <definedName name="syx">#REF!</definedName>
    <definedName name="t" localSheetId="3">#REF!</definedName>
    <definedName name="t">#REF!</definedName>
    <definedName name="tz" localSheetId="3">#REF!</definedName>
    <definedName name="tz">#REF!</definedName>
    <definedName name="utest" localSheetId="3">'[5]Arbeitsbereich'!$C$10:$C$19</definedName>
    <definedName name="utest">'[2]Arbeitsbereich'!$C$10:$C$19</definedName>
    <definedName name="uvar" localSheetId="3">'[5]Grubbs'!$D$7</definedName>
    <definedName name="uvar">'[2]Grubbs'!$D$7</definedName>
    <definedName name="vleer" localSheetId="3">'[5]Arbeitsbereich'!$C$22</definedName>
    <definedName name="vleer">'[2]Arbeitsbereich'!$C$22</definedName>
    <definedName name="xdaten" localSheetId="3">#REF!</definedName>
    <definedName name="xdaten">#REF!</definedName>
    <definedName name="xmittel" localSheetId="3">#REF!</definedName>
    <definedName name="xmittel">#REF!</definedName>
    <definedName name="y_1" localSheetId="0">'[4]Allgemeines Beispiel'!#REF!</definedName>
    <definedName name="y_1" localSheetId="3">'[4]Allgemeines Beispiel'!#REF!</definedName>
    <definedName name="y_1" localSheetId="7">'[4]Allgemeines Beispiel'!#REF!</definedName>
    <definedName name="y_1" localSheetId="4">'[4]Allgemeines Beispiel'!#REF!</definedName>
    <definedName name="y_1" localSheetId="5">'[4]Allgemeines Beispiel'!#REF!</definedName>
    <definedName name="y_1" localSheetId="6">'[4]Allgemeines Beispiel'!#REF!</definedName>
    <definedName name="y_1" localSheetId="2">'[3]Allgemeines Beispiel'!#REF!</definedName>
    <definedName name="y_1">'[3]Allgemeines Beispiel'!#REF!</definedName>
    <definedName name="y_10" localSheetId="0">'[4]Allgemeines Beispiel'!#REF!</definedName>
    <definedName name="y_10" localSheetId="3">'[4]Allgemeines Beispiel'!#REF!</definedName>
    <definedName name="y_10" localSheetId="7">'[4]Allgemeines Beispiel'!#REF!</definedName>
    <definedName name="y_10" localSheetId="4">'[4]Allgemeines Beispiel'!#REF!</definedName>
    <definedName name="y_10" localSheetId="5">'[4]Allgemeines Beispiel'!#REF!</definedName>
    <definedName name="y_10" localSheetId="6">'[4]Allgemeines Beispiel'!#REF!</definedName>
    <definedName name="y_10" localSheetId="2">'[3]Allgemeines Beispiel'!#REF!</definedName>
    <definedName name="y_10">'[3]Allgemeines Beispiel'!#REF!</definedName>
    <definedName name="y_2" localSheetId="0">'[4]Allgemeines Beispiel'!#REF!</definedName>
    <definedName name="y_2" localSheetId="3">'[4]Allgemeines Beispiel'!#REF!</definedName>
    <definedName name="y_2" localSheetId="7">'[4]Allgemeines Beispiel'!#REF!</definedName>
    <definedName name="y_2" localSheetId="4">'[4]Allgemeines Beispiel'!#REF!</definedName>
    <definedName name="y_2" localSheetId="5">'[4]Allgemeines Beispiel'!#REF!</definedName>
    <definedName name="y_2" localSheetId="6">'[4]Allgemeines Beispiel'!#REF!</definedName>
    <definedName name="y_2" localSheetId="2">'[3]Allgemeines Beispiel'!#REF!</definedName>
    <definedName name="y_2">'[3]Allgemeines Beispiel'!#REF!</definedName>
    <definedName name="y_3" localSheetId="0">'[4]Allgemeines Beispiel'!#REF!</definedName>
    <definedName name="y_3" localSheetId="3">'[4]Allgemeines Beispiel'!#REF!</definedName>
    <definedName name="y_3" localSheetId="7">'[4]Allgemeines Beispiel'!#REF!</definedName>
    <definedName name="y_3" localSheetId="4">'[4]Allgemeines Beispiel'!#REF!</definedName>
    <definedName name="y_3" localSheetId="5">'[4]Allgemeines Beispiel'!#REF!</definedName>
    <definedName name="y_3" localSheetId="6">'[4]Allgemeines Beispiel'!#REF!</definedName>
    <definedName name="y_3" localSheetId="2">'[3]Allgemeines Beispiel'!#REF!</definedName>
    <definedName name="y_3">'[3]Allgemeines Beispiel'!#REF!</definedName>
    <definedName name="y_4" localSheetId="0">'[4]Allgemeines Beispiel'!#REF!</definedName>
    <definedName name="y_4" localSheetId="3">'[4]Allgemeines Beispiel'!#REF!</definedName>
    <definedName name="y_4" localSheetId="7">'[4]Allgemeines Beispiel'!#REF!</definedName>
    <definedName name="y_4" localSheetId="4">'[4]Allgemeines Beispiel'!#REF!</definedName>
    <definedName name="y_4" localSheetId="5">'[4]Allgemeines Beispiel'!#REF!</definedName>
    <definedName name="y_4" localSheetId="6">'[4]Allgemeines Beispiel'!#REF!</definedName>
    <definedName name="y_4" localSheetId="2">'[3]Allgemeines Beispiel'!#REF!</definedName>
    <definedName name="y_4">'[3]Allgemeines Beispiel'!#REF!</definedName>
    <definedName name="y_5" localSheetId="0">'[4]Allgemeines Beispiel'!#REF!</definedName>
    <definedName name="y_5" localSheetId="3">'[4]Allgemeines Beispiel'!#REF!</definedName>
    <definedName name="y_5" localSheetId="7">'[4]Allgemeines Beispiel'!#REF!</definedName>
    <definedName name="y_5" localSheetId="4">'[4]Allgemeines Beispiel'!#REF!</definedName>
    <definedName name="y_5" localSheetId="5">'[4]Allgemeines Beispiel'!#REF!</definedName>
    <definedName name="y_5" localSheetId="6">'[4]Allgemeines Beispiel'!#REF!</definedName>
    <definedName name="y_5" localSheetId="2">'[3]Allgemeines Beispiel'!#REF!</definedName>
    <definedName name="y_5">'[3]Allgemeines Beispiel'!#REF!</definedName>
    <definedName name="y_6" localSheetId="0">'[4]Allgemeines Beispiel'!#REF!</definedName>
    <definedName name="y_6" localSheetId="3">'[4]Allgemeines Beispiel'!#REF!</definedName>
    <definedName name="y_6" localSheetId="7">'[4]Allgemeines Beispiel'!#REF!</definedName>
    <definedName name="y_6" localSheetId="4">'[4]Allgemeines Beispiel'!#REF!</definedName>
    <definedName name="y_6" localSheetId="5">'[4]Allgemeines Beispiel'!#REF!</definedName>
    <definedName name="y_6" localSheetId="6">'[4]Allgemeines Beispiel'!#REF!</definedName>
    <definedName name="y_6" localSheetId="2">'[3]Allgemeines Beispiel'!#REF!</definedName>
    <definedName name="y_6">'[3]Allgemeines Beispiel'!#REF!</definedName>
    <definedName name="y_7" localSheetId="0">'[4]Allgemeines Beispiel'!#REF!</definedName>
    <definedName name="y_7" localSheetId="3">'[4]Allgemeines Beispiel'!#REF!</definedName>
    <definedName name="y_7" localSheetId="7">'[4]Allgemeines Beispiel'!#REF!</definedName>
    <definedName name="y_7" localSheetId="4">'[4]Allgemeines Beispiel'!#REF!</definedName>
    <definedName name="y_7" localSheetId="5">'[4]Allgemeines Beispiel'!#REF!</definedName>
    <definedName name="y_7" localSheetId="6">'[4]Allgemeines Beispiel'!#REF!</definedName>
    <definedName name="y_7" localSheetId="2">'[3]Allgemeines Beispiel'!#REF!</definedName>
    <definedName name="y_7">'[3]Allgemeines Beispiel'!#REF!</definedName>
    <definedName name="y_8" localSheetId="0">'[4]Allgemeines Beispiel'!#REF!</definedName>
    <definedName name="y_8" localSheetId="3">'[4]Allgemeines Beispiel'!#REF!</definedName>
    <definedName name="y_8" localSheetId="7">'[4]Allgemeines Beispiel'!#REF!</definedName>
    <definedName name="y_8" localSheetId="4">'[4]Allgemeines Beispiel'!#REF!</definedName>
    <definedName name="y_8" localSheetId="5">'[4]Allgemeines Beispiel'!#REF!</definedName>
    <definedName name="y_8" localSheetId="6">'[4]Allgemeines Beispiel'!#REF!</definedName>
    <definedName name="y_8" localSheetId="2">'[3]Allgemeines Beispiel'!#REF!</definedName>
    <definedName name="y_8">'[3]Allgemeines Beispiel'!#REF!</definedName>
    <definedName name="y_9" localSheetId="0">'[4]Allgemeines Beispiel'!#REF!</definedName>
    <definedName name="y_9" localSheetId="3">'[4]Allgemeines Beispiel'!#REF!</definedName>
    <definedName name="y_9" localSheetId="7">'[4]Allgemeines Beispiel'!#REF!</definedName>
    <definedName name="y_9" localSheetId="4">'[4]Allgemeines Beispiel'!#REF!</definedName>
    <definedName name="y_9" localSheetId="5">'[4]Allgemeines Beispiel'!#REF!</definedName>
    <definedName name="y_9" localSheetId="6">'[4]Allgemeines Beispiel'!#REF!</definedName>
    <definedName name="y_9" localSheetId="2">'[3]Allgemeines Beispiel'!#REF!</definedName>
    <definedName name="y_9">'[3]Allgemeines Beispiel'!#REF!</definedName>
    <definedName name="ydaten" localSheetId="3">#REF!</definedName>
    <definedName name="ydaten">#REF!</definedName>
    <definedName name="ymittel" localSheetId="3">#REF!</definedName>
    <definedName name="ymittel">#REF!</definedName>
  </definedNames>
  <calcPr fullCalcOnLoad="1"/>
</workbook>
</file>

<file path=xl/comments3.xml><?xml version="1.0" encoding="utf-8"?>
<comments xmlns="http://schemas.openxmlformats.org/spreadsheetml/2006/main">
  <authors>
    <author>Alpers Lars (LAG-A)</author>
    <author>Autor</author>
    <author>Lars Alpers</author>
  </authors>
  <commentList>
    <comment ref="A62" authorId="0">
      <text>
        <r>
          <rPr>
            <sz val="9"/>
            <rFont val="Segoe UI"/>
            <family val="2"/>
          </rPr>
          <t>R = Anzeigewert der Waage</t>
        </r>
      </text>
    </comment>
    <comment ref="E99" authorId="0">
      <text>
        <r>
          <rPr>
            <b/>
            <sz val="9"/>
            <rFont val="Segoe UI"/>
            <family val="2"/>
          </rPr>
          <t>Alpers Lars (LAG-A):</t>
        </r>
        <r>
          <rPr>
            <sz val="9"/>
            <rFont val="Segoe UI"/>
            <family val="2"/>
          </rPr>
          <t xml:space="preserve">
Werte von 1 zeigen negative Messunsicherheiten an, was als unplausibel gewertet wird und entspr. Meldungen in den Zellen D46, J47, A50 und F50 hervorruft.</t>
        </r>
      </text>
    </comment>
    <comment ref="E33" authorId="1">
      <text>
        <r>
          <rPr>
            <sz val="9"/>
            <rFont val="Segoe UI"/>
            <family val="2"/>
          </rPr>
          <t xml:space="preserve">Empfohlene Taralasten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 Werte von "Max", hier auf 10g abgerundet angegeben.</t>
        </r>
      </text>
    </comment>
    <comment ref="E3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E30" authorId="1">
      <text>
        <r>
          <rPr>
            <sz val="9"/>
            <rFont val="Segoe UI"/>
            <family val="2"/>
          </rPr>
          <t>Es ist hier jeweils die links angegebene Taralast (T...) aufzulegen, zu tarieren und danach die links angegebene Prüflast  (P...) zusätzlich zur Taralast aufzulegen.</t>
        </r>
      </text>
    </comment>
    <comment ref="B28" authorId="1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da TK in ppm/K angegeben ist, so muss dieser Wert für die Berechnung durch 1E6 geteilt werden.</t>
        </r>
      </text>
    </comment>
    <comment ref="A21" authorId="1">
      <text>
        <r>
          <rPr>
            <sz val="9"/>
            <rFont val="Segoe UI"/>
            <family val="2"/>
          </rPr>
          <t>entspricht "m</t>
        </r>
        <r>
          <rPr>
            <vertAlign val="subscript"/>
            <sz val="9"/>
            <rFont val="Segoe UI"/>
            <family val="2"/>
          </rPr>
          <t>w0</t>
        </r>
        <r>
          <rPr>
            <sz val="9"/>
            <rFont val="Segoe UI"/>
            <family val="2"/>
          </rPr>
          <t>"
aus DKD-R 7-1</t>
        </r>
      </text>
    </comment>
    <comment ref="E20" authorId="1">
      <text>
        <r>
          <rPr>
            <sz val="9"/>
            <rFont val="Segoe UI"/>
            <family val="2"/>
          </rPr>
          <t>Hier den Unsicherheitsbetrag des Massestückes P0 eintragen, bzw. die einzelnen Unsicherheitsbeträge der Massestücke, welche gemeinsam P0 ergeben haben.</t>
        </r>
      </text>
    </comment>
    <comment ref="A20" authorId="1">
      <text>
        <r>
          <rPr>
            <sz val="9"/>
            <rFont val="Segoe UI"/>
            <family val="2"/>
          </rPr>
          <t>Konventioneller Wägewert laut Zertifikat.</t>
        </r>
      </text>
    </comment>
    <comment ref="A26" authorId="1">
      <text>
        <r>
          <rPr>
            <sz val="9"/>
            <rFont val="Segoe UI"/>
            <family val="2"/>
          </rPr>
          <t>Zu erwartender Temperaturbereich, innerhalb dessen ein und dieselbe Justierung der Waage gültig ist.</t>
        </r>
      </text>
    </comment>
    <comment ref="A18" authorId="1">
      <text>
        <r>
          <rPr>
            <sz val="9"/>
            <rFont val="Segoe UI"/>
            <family val="2"/>
          </rPr>
          <t xml:space="preserve">Empfohlene Prüflast P0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" authorId="1">
      <text>
        <r>
          <rPr>
            <sz val="9"/>
            <rFont val="Segoe UI"/>
            <family val="2"/>
          </rPr>
          <t>Die Waage darf nur über einen Messbereich verfügen und die Anzeigegenauigkeit d muss über den gesamten Messbereich der Waage gültig sein.</t>
        </r>
      </text>
    </comment>
    <comment ref="A27" authorId="2">
      <text>
        <r>
          <rPr>
            <sz val="9"/>
            <rFont val="Segoe UI"/>
            <family val="2"/>
          </rPr>
          <t>Temperatureinfluss auf die mittlere Kennliniensteigerung in ppm/K, wie vom Hersteller der Waage angegeben.
Liegen keine entspr. Angaben vor, so können diese gemäß Arbeitsanweisung "QAC29" der Fa. Kern, für die Kalibrierung nichtselbsttätiger elektronischer Waagen wie folgt abgeschätzt werden:
          "Top-Standard":  1 ppm/K
          "Standard":           5 ppm/K
          "Basic":               10 ppm/K
          "Low Basic":       50 ppm/K</t>
        </r>
      </text>
    </comment>
    <comment ref="A4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31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3" authorId="2">
      <text>
        <r>
          <rPr>
            <sz val="9"/>
            <rFont val="Segoe UI"/>
            <family val="2"/>
          </rPr>
          <t>Kleinster Teilungswert der Waagenanzeige in mg.</t>
        </r>
      </text>
    </comment>
    <comment ref="A12" authorId="2">
      <text>
        <r>
          <rPr>
            <sz val="9"/>
            <rFont val="Segoe UI"/>
            <family val="2"/>
          </rPr>
          <t>Vom Hersteller der Waage angegebene Höchstlast der Waage in g.</t>
        </r>
      </text>
    </comment>
    <comment ref="J1" authorId="2">
      <text>
        <r>
          <rPr>
            <b/>
            <sz val="9"/>
            <rFont val="Segoe UI"/>
            <family val="2"/>
          </rPr>
          <t>Lars Alpers:</t>
        </r>
        <r>
          <rPr>
            <sz val="9"/>
            <rFont val="Segoe UI"/>
            <family val="2"/>
          </rPr>
          <t xml:space="preserve">
Änderung am 04.01.2019:
Die Gleichungen zur Ermittlung der Prozessgenauigkeit wurden dahingehend ergänzt, dass der Hinweis "</t>
        </r>
        <r>
          <rPr>
            <i/>
            <sz val="9"/>
            <rFont val="Segoe UI"/>
            <family val="2"/>
          </rPr>
          <t>Aus der Gleichung nicht ermittelbar</t>
        </r>
        <r>
          <rPr>
            <sz val="9"/>
            <rFont val="Segoe UI"/>
            <family val="2"/>
          </rPr>
          <t>" ausgegeben wird, sofern das Rechenergebnis hier &lt;=0 beträgt. Ein solches Ergebnis ist mathematisch zwar möglich, praktisch ist es jedoch als Prozessgenauigkeit unplausibel und somit abzulehnen.
Änderung am 22.08.2020:
Im Rechenfeld in den Zellen P63 und Q63 für Uabs und Urel die Angaben von k=2 auf k=1 korrigiert.</t>
        </r>
      </text>
    </comment>
  </commentList>
</comments>
</file>

<file path=xl/comments7.xml><?xml version="1.0" encoding="utf-8"?>
<comments xmlns="http://schemas.openxmlformats.org/spreadsheetml/2006/main">
  <authors>
    <author>Lars Alpers</author>
  </authors>
  <commentList>
    <comment ref="F9" authorId="0">
      <text>
        <r>
          <rPr>
            <sz val="9"/>
            <rFont val="Segoe UI"/>
            <family val="2"/>
          </rPr>
          <t>Hinweis:
Dieser Wert wurde aus der Angabe vK=0,1E-12 aus dem Beispiel berechnet und soll hier anstelle der manuellen Erhöhung des Ergebnisses von vK um 50% angegeben werden, da eine direkte Erhöhung des Wertes vK in diesem Rechenblätt nicht möglich ist.</t>
        </r>
      </text>
    </comment>
  </commentList>
</comments>
</file>

<file path=xl/sharedStrings.xml><?xml version="1.0" encoding="utf-8"?>
<sst xmlns="http://schemas.openxmlformats.org/spreadsheetml/2006/main" count="729" uniqueCount="447">
  <si>
    <t>g</t>
  </si>
  <si>
    <t>Datum der Prüfung:</t>
  </si>
  <si>
    <t>Hersteller/Typ:</t>
  </si>
  <si>
    <t>Bemerkungen</t>
  </si>
  <si>
    <t>Ein geprüfter Arbeitsbereich umfasst jeweils eine Dekade.</t>
  </si>
  <si>
    <t>Die jeweilige Prüflast ist vorzugsweise im inneren Drittel eines Arbeitsbereiches zu wählen.</t>
  </si>
  <si>
    <t>Prüflast in g</t>
  </si>
  <si>
    <t>Rechenfeld für interpolierte Messunsicherheitsangaben</t>
  </si>
  <si>
    <t>Ist eine aufgeführte Dekade für eine Prüfung nicht zutreffend, dann die entspr. Zellen frei lassen.</t>
  </si>
  <si>
    <t>Hinweise:</t>
  </si>
  <si>
    <t>Kalibriergleichung</t>
  </si>
  <si>
    <t>interner ID-Code:</t>
  </si>
  <si>
    <t>(U = x + y * R)</t>
  </si>
  <si>
    <t>x =</t>
  </si>
  <si>
    <t>y =</t>
  </si>
  <si>
    <t>Diagramm der relativen Messunsicherheit</t>
  </si>
  <si>
    <t>Berechnet mittels Kalibriergleichung</t>
  </si>
  <si>
    <t>Angaben zur Rückführung des Referenzmassesatzes</t>
  </si>
  <si>
    <t>Firmenbezeichnung</t>
  </si>
  <si>
    <t>siehe im zutreffenden Kalibrierschein</t>
  </si>
  <si>
    <t>interner ID-Code der zutreffenden Waage</t>
  </si>
  <si>
    <r>
      <t>Angaben zum Prüfgegenstand</t>
    </r>
    <r>
      <rPr>
        <sz val="10"/>
        <rFont val="Arial"/>
        <family val="2"/>
      </rPr>
      <t xml:space="preserve"> (Waage)</t>
    </r>
  </si>
  <si>
    <t>Die Quelldaten für die Darstellung, U relativ</t>
  </si>
  <si>
    <t>angewendete, DKD-kalibrierte Waage:</t>
  </si>
  <si>
    <r>
      <t>Durchgeführt von (</t>
    </r>
    <r>
      <rPr>
        <sz val="9"/>
        <rFont val="Arial"/>
        <family val="2"/>
      </rPr>
      <t>Firma / Dienstleister</t>
    </r>
    <r>
      <rPr>
        <sz val="10"/>
        <rFont val="Arial"/>
        <family val="2"/>
      </rPr>
      <t>):</t>
    </r>
  </si>
  <si>
    <r>
      <rPr>
        <b/>
        <sz val="10"/>
        <rFont val="Arial"/>
        <family val="2"/>
      </rPr>
      <t>Kalibrierzeichen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enthaltene Angaben</t>
    </r>
    <r>
      <rPr>
        <sz val="10"/>
        <rFont val="Arial"/>
        <family val="2"/>
      </rPr>
      <t>):</t>
    </r>
  </si>
  <si>
    <t>laufende Nr.</t>
  </si>
  <si>
    <t>Kalibrierdatum</t>
  </si>
  <si>
    <t>Akkred.nr.</t>
  </si>
  <si>
    <t>Datum, Name des Bearbeiters. Unterschrift</t>
  </si>
  <si>
    <t>Weitere Angaben:</t>
  </si>
  <si>
    <t xml:space="preserve">OIML-Fehlergrenzenklassen von E1 bis M3 </t>
  </si>
  <si>
    <t xml:space="preserve">  (OIML: "International Organization of Legal Metrology")</t>
  </si>
  <si>
    <t>Was sind Fehlergrenzenklassen überhaupt?</t>
  </si>
  <si>
    <t>Die Fehlergrenzenklassen stufen sich streng hierarchisch im Verhältnis 1:3 ab, </t>
  </si>
  <si>
    <t>wobei E1 die genaueste und M3 die am wenigsten genaue Gewichtsklasse ist.</t>
  </si>
  <si>
    <r>
      <t>Fehlergrenzen</t>
    </r>
    <r>
      <rPr>
        <u val="single"/>
        <sz val="8.5"/>
        <rFont val="Verdana"/>
        <family val="2"/>
      </rPr>
      <t xml:space="preserve"> </t>
    </r>
    <r>
      <rPr>
        <u val="single"/>
        <sz val="8.5"/>
        <color indexed="8"/>
        <rFont val="Verdana"/>
        <family val="2"/>
      </rPr>
      <t>(Toleranzen)</t>
    </r>
  </si>
  <si>
    <t>Sie geben an, wieviel ein Gewicht nach Plus und Minus vom Nennwert abweichen darf. Die Fehlergrenzen entsprechen der Meßunsicherheit des Gewichts, wenn kein Kalibrierschein (DKD-Zertifikat) vorhanden ist.</t>
  </si>
  <si>
    <t>Nennwert</t>
  </si>
  <si>
    <t>1 mg</t>
  </si>
  <si>
    <t>± 0,002 mg</t>
  </si>
  <si>
    <t>± 0,006 mg</t>
  </si>
  <si>
    <t>±0,020 mg</t>
  </si>
  <si>
    <t>±0,06 mg</t>
  </si>
  <si>
    <t>±0,20 mg</t>
  </si>
  <si>
    <t>2 mg</t>
  </si>
  <si>
    <t>5 mg</t>
  </si>
  <si>
    <t>10 mg</t>
  </si>
  <si>
    <t>± 0,008 mg</t>
  </si>
  <si>
    <t>±0,025 mg</t>
  </si>
  <si>
    <t>±0,08 mg</t>
  </si>
  <si>
    <t>±0,25 mg</t>
  </si>
  <si>
    <t>20 mg</t>
  </si>
  <si>
    <t>± 0,003 mg</t>
  </si>
  <si>
    <t>± 0,010 mg</t>
  </si>
  <si>
    <t>±0,03 mg</t>
  </si>
  <si>
    <t>±0,10 mg</t>
  </si>
  <si>
    <t>±0,3 mg</t>
  </si>
  <si>
    <t>50 mg</t>
  </si>
  <si>
    <t>± 0,004 mg</t>
  </si>
  <si>
    <t>± 0,012 mg</t>
  </si>
  <si>
    <t>±0,04 mg</t>
  </si>
  <si>
    <t>±0,12 mg</t>
  </si>
  <si>
    <t>±0,4 mg</t>
  </si>
  <si>
    <t>100 mg</t>
  </si>
  <si>
    <t>± 0,005 mg</t>
  </si>
  <si>
    <t>± 0,015 mg</t>
  </si>
  <si>
    <t>±0,05 mg</t>
  </si>
  <si>
    <t>±0,15 mg</t>
  </si>
  <si>
    <t>±0,5 mg</t>
  </si>
  <si>
    <t>±1,5 mg</t>
  </si>
  <si>
    <t>200 mg</t>
  </si>
  <si>
    <t>± 0,020 mg</t>
  </si>
  <si>
    <t>±0,6 mg</t>
  </si>
  <si>
    <t>±2,0 mg</t>
  </si>
  <si>
    <t>500 mg</t>
  </si>
  <si>
    <t>± 0,025 mg</t>
  </si>
  <si>
    <t>±0,8 mg</t>
  </si>
  <si>
    <t>±2,5 mg</t>
  </si>
  <si>
    <t>1 g</t>
  </si>
  <si>
    <t>± 0,030 mg</t>
  </si>
  <si>
    <t>±1,0 mg</t>
  </si>
  <si>
    <t>±3 mg</t>
  </si>
  <si>
    <t>±10 mg</t>
  </si>
  <si>
    <t>2 g</t>
  </si>
  <si>
    <t>± 0,040 mg</t>
  </si>
  <si>
    <t>±1,2 mg</t>
  </si>
  <si>
    <t>±4 mg</t>
  </si>
  <si>
    <t>±12 mg</t>
  </si>
  <si>
    <t>5 g</t>
  </si>
  <si>
    <t>± 0,050 mg</t>
  </si>
  <si>
    <t>±5 mg</t>
  </si>
  <si>
    <t>±15 mg</t>
  </si>
  <si>
    <t>10 g</t>
  </si>
  <si>
    <t>± 0,060 mg</t>
  </si>
  <si>
    <t>±6 mg</t>
  </si>
  <si>
    <t>±20 mg</t>
  </si>
  <si>
    <t>20 g</t>
  </si>
  <si>
    <t>± 0,080 mg</t>
  </si>
  <si>
    <t>±8 mg</t>
  </si>
  <si>
    <t>±25 mg</t>
  </si>
  <si>
    <t>50 g</t>
  </si>
  <si>
    <t xml:space="preserve">± 0,030 mg </t>
  </si>
  <si>
    <t>± 0,10 mg</t>
  </si>
  <si>
    <t>±0,30 mg</t>
  </si>
  <si>
    <t>±3,0 mg</t>
  </si>
  <si>
    <t>±30 mg</t>
  </si>
  <si>
    <t>100 g</t>
  </si>
  <si>
    <t>± 0,05 mg</t>
  </si>
  <si>
    <t>± 0,15 mg</t>
  </si>
  <si>
    <t>±0,50 mg</t>
  </si>
  <si>
    <t>±50 mg</t>
  </si>
  <si>
    <t>200 g</t>
  </si>
  <si>
    <t>± 0,30 mg</t>
  </si>
  <si>
    <t>±100 mg</t>
  </si>
  <si>
    <t>500 g</t>
  </si>
  <si>
    <t>± 0,25 mg</t>
  </si>
  <si>
    <t>± 0,75 mg</t>
  </si>
  <si>
    <t>±7,5 mg</t>
  </si>
  <si>
    <t>±75 mg</t>
  </si>
  <si>
    <t>±250 mg</t>
  </si>
  <si>
    <t>1 kg</t>
  </si>
  <si>
    <t>± 0,50 mg</t>
  </si>
  <si>
    <t>± 1,50 mg</t>
  </si>
  <si>
    <t>± 5 mg</t>
  </si>
  <si>
    <t>±150 mg</t>
  </si>
  <si>
    <t>±500 mg</t>
  </si>
  <si>
    <t>2 kg</t>
  </si>
  <si>
    <t>± 3,0 mg</t>
  </si>
  <si>
    <t>±300 mg</t>
  </si>
  <si>
    <t>±1000 mg</t>
  </si>
  <si>
    <t>5 kg</t>
  </si>
  <si>
    <t>± 7,5 mg</t>
  </si>
  <si>
    <t>±750 mg</t>
  </si>
  <si>
    <t>±2500 mg</t>
  </si>
  <si>
    <t>10 kg</t>
  </si>
  <si>
    <t>± 15 mg</t>
  </si>
  <si>
    <t>±1500 mg</t>
  </si>
  <si>
    <t>±5000 mg</t>
  </si>
  <si>
    <t>20 kg</t>
  </si>
  <si>
    <t>± 30 mg</t>
  </si>
  <si>
    <t>±3000 mg</t>
  </si>
  <si>
    <t>±10000 mg</t>
  </si>
  <si>
    <t>50 kg</t>
  </si>
  <si>
    <t>± 75 mg</t>
  </si>
  <si>
    <t>±7500 mg</t>
  </si>
  <si>
    <t>±25000 mg</t>
  </si>
  <si>
    <t>x</t>
  </si>
  <si>
    <t>Außermittige Belastung</t>
  </si>
  <si>
    <t>Auswahl, Anzeige, Prozessgenauigkeit</t>
  </si>
  <si>
    <t xml:space="preserve"> ---</t>
  </si>
  <si>
    <t>mg</t>
  </si>
  <si>
    <t>Mit der Tastenkombination STRG+d werden alle Zellen für neue Eingaben gelöscht.</t>
  </si>
  <si>
    <r>
      <t>Korrektur der Waagenanzeige für Massestücke mit ρ ≠ 8000 kg/m</t>
    </r>
    <r>
      <rPr>
        <b/>
        <vertAlign val="superscript"/>
        <sz val="14"/>
        <color indexed="8"/>
        <rFont val="Arial"/>
        <family val="2"/>
      </rPr>
      <t>3</t>
    </r>
  </si>
  <si>
    <t>Der konventionelle Wägewert ist gemäß einer Empfehlung der Internationalen Organisation für das gesetzliche Messwesen (OIML)</t>
  </si>
  <si>
    <t>eine Rechengröße, die einem Gewichtstück zugeordnet wird, wenn es bei einer Temperatur von 20 °C einem Bezugsgewichtstück</t>
  </si>
  <si>
    <t>der Dichte 8000 kg/m3 in Luft der Dichte 1,2 kg/m3 das Gleichgewicht hält.</t>
  </si>
  <si>
    <t>(Quelle: Wikipedia, Wägewert)</t>
  </si>
  <si>
    <t xml:space="preserve">Dichte des Wägegutes, ρ = </t>
  </si>
  <si>
    <r>
      <t xml:space="preserve"> g/cm</t>
    </r>
    <r>
      <rPr>
        <vertAlign val="superscript"/>
        <sz val="11"/>
        <color indexed="8"/>
        <rFont val="Arial"/>
        <family val="2"/>
      </rPr>
      <t>3</t>
    </r>
  </si>
  <si>
    <t xml:space="preserve">Anzeigewert der Waage, m = </t>
  </si>
  <si>
    <t xml:space="preserve"> g</t>
  </si>
  <si>
    <t xml:space="preserve">Konventioneller Wägewert, Wk = </t>
  </si>
  <si>
    <t>Dichte ausgewählter Stoffe:</t>
  </si>
  <si>
    <t>Stoff</t>
  </si>
  <si>
    <r>
      <t>Dichte g/cm</t>
    </r>
    <r>
      <rPr>
        <vertAlign val="superscript"/>
        <sz val="11"/>
        <color indexed="63"/>
        <rFont val="Arial"/>
        <family val="2"/>
      </rPr>
      <t>3</t>
    </r>
  </si>
  <si>
    <t>Aluminium</t>
  </si>
  <si>
    <t>Fichtenholz</t>
  </si>
  <si>
    <t>ca. 0,5</t>
  </si>
  <si>
    <t>Neusilber</t>
  </si>
  <si>
    <t>8,2...8,7</t>
  </si>
  <si>
    <t>Rhodium</t>
  </si>
  <si>
    <t>Balsaholz</t>
  </si>
  <si>
    <t>0,1...0,2</t>
  </si>
  <si>
    <t>Gips</t>
  </si>
  <si>
    <t>Nickel</t>
  </si>
  <si>
    <t>Sandstein</t>
  </si>
  <si>
    <t>Beton</t>
  </si>
  <si>
    <t>1,8...2,450</t>
  </si>
  <si>
    <t>Granit</t>
  </si>
  <si>
    <t>Osmium</t>
  </si>
  <si>
    <t>Schotter</t>
  </si>
  <si>
    <t>1,7...1,9</t>
  </si>
  <si>
    <t>Blei</t>
  </si>
  <si>
    <t>Gummi</t>
  </si>
  <si>
    <t>0,920...0,960</t>
  </si>
  <si>
    <t>Palladium</t>
  </si>
  <si>
    <t>Silber</t>
  </si>
  <si>
    <t>Cadmium</t>
  </si>
  <si>
    <t>Gusseisen</t>
  </si>
  <si>
    <t>Papier</t>
  </si>
  <si>
    <t>ca. 0,8</t>
  </si>
  <si>
    <t>Silicium</t>
  </si>
  <si>
    <t>Chrom</t>
  </si>
  <si>
    <t>Holz</t>
  </si>
  <si>
    <t>0,4...0,8</t>
  </si>
  <si>
    <t>Paraffin</t>
  </si>
  <si>
    <t>0,860...0,930</t>
  </si>
  <si>
    <t>Stahl</t>
  </si>
  <si>
    <t>Edelstahl</t>
  </si>
  <si>
    <t>Kohlenstoff</t>
  </si>
  <si>
    <t>Pertinax</t>
  </si>
  <si>
    <t>Steinkohle</t>
  </si>
  <si>
    <t>Eichenholz</t>
  </si>
  <si>
    <t>Phosphor</t>
  </si>
  <si>
    <t>Wachs</t>
  </si>
  <si>
    <t>0,9...0,980</t>
  </si>
  <si>
    <t>Eis</t>
  </si>
  <si>
    <t>Kork</t>
  </si>
  <si>
    <t>0,480...0,520</t>
  </si>
  <si>
    <t>Platin</t>
  </si>
  <si>
    <t>Zement</t>
  </si>
  <si>
    <t>3,0...3,1</t>
  </si>
  <si>
    <t>Eisen</t>
  </si>
  <si>
    <t>Kupfer</t>
  </si>
  <si>
    <t>8,920...8,960</t>
  </si>
  <si>
    <t>Plexiglas</t>
  </si>
  <si>
    <t>Zink</t>
  </si>
  <si>
    <t>Eisenoxid</t>
  </si>
  <si>
    <t>Magnesium</t>
  </si>
  <si>
    <t>Polystyrol</t>
  </si>
  <si>
    <t>1,040...1,090</t>
  </si>
  <si>
    <t>Zinn</t>
  </si>
  <si>
    <t>Eisenstahl</t>
  </si>
  <si>
    <t>Mangan</t>
  </si>
  <si>
    <t>Quarzglas</t>
  </si>
  <si>
    <t>Fensterglas</t>
  </si>
  <si>
    <t>2,5...2,6</t>
  </si>
  <si>
    <t>Messing</t>
  </si>
  <si>
    <t>8,3...8,7</t>
  </si>
  <si>
    <t>Rhenium</t>
  </si>
  <si>
    <t xml:space="preserve"> Quelle: Tabellensammlung Chemie / Dichte fester Stoffe (http://de.wikibooks.org/wiki/Tabellensammlung_Chemie)</t>
  </si>
  <si>
    <r>
      <rPr>
        <sz val="10"/>
        <color indexed="12"/>
        <rFont val="Arial"/>
        <family val="2"/>
      </rPr>
      <t xml:space="preserve">      </t>
    </r>
    <r>
      <rPr>
        <u val="single"/>
        <sz val="10"/>
        <color indexed="12"/>
        <rFont val="Arial"/>
        <family val="2"/>
      </rPr>
      <t>Ergibt für eine Prozessgenauigkeit (k=1) von:</t>
    </r>
  </si>
  <si>
    <t>1. Kopfdaten eintragen</t>
  </si>
  <si>
    <t>• Prüfdatum</t>
  </si>
  <si>
    <t>• Raumtemperatur</t>
  </si>
  <si>
    <t>• Hersteller/Typ der Waage</t>
  </si>
  <si>
    <t>• ID-Code der Waage</t>
  </si>
  <si>
    <r>
      <t xml:space="preserve">• Höchstlast der Waage (gemäß Herstellerangabe) in </t>
    </r>
    <r>
      <rPr>
        <b/>
        <sz val="11"/>
        <color indexed="8"/>
        <rFont val="Calibri"/>
        <family val="2"/>
      </rPr>
      <t>g</t>
    </r>
  </si>
  <si>
    <r>
      <t xml:space="preserve">• Mindest-Ablesbarkeit der Waage in </t>
    </r>
    <r>
      <rPr>
        <b/>
        <sz val="11"/>
        <color indexed="8"/>
        <rFont val="Calibri"/>
        <family val="2"/>
      </rPr>
      <t>mg</t>
    </r>
  </si>
  <si>
    <t>2. Angaben zur Rückführung des Referenzmassesatzes eintragen</t>
  </si>
  <si>
    <t>• Für die Rückführung angewendete, DKD-kalibrierte Waage</t>
  </si>
  <si>
    <t>• Firma/Dienstleister, der die Waage DKD-kalibriert hat</t>
  </si>
  <si>
    <t>oder alternativ, bei Vorliegen eines Kalibrierzertifikates des Massesatzes</t>
  </si>
  <si>
    <t>• im Kalibrierzeichen enthaltene Angaben</t>
  </si>
  <si>
    <t>• Weitere Angaben nach Bedarf</t>
  </si>
  <si>
    <t>3. Daten aus der durchgeführten Prüfung eintragen</t>
  </si>
  <si>
    <t>49,9999</t>
  </si>
  <si>
    <t>Kontrolle</t>
  </si>
  <si>
    <t xml:space="preserve">Summe: </t>
  </si>
  <si>
    <t>Datum, Unterschrift, Leitung</t>
  </si>
  <si>
    <t>LA Toolsammlung</t>
  </si>
  <si>
    <t>lars-alpers@gmx.de</t>
  </si>
  <si>
    <t>LOGO einfügen</t>
  </si>
  <si>
    <t>Nennwertermittlung eines Kontrollmassestückes</t>
  </si>
  <si>
    <t xml:space="preserve">ID-Code: </t>
  </si>
  <si>
    <t>Rev.</t>
  </si>
  <si>
    <t>Stand:</t>
  </si>
  <si>
    <t>ID-Code der Waage:</t>
  </si>
  <si>
    <t>ID-Code des Massestückes:</t>
  </si>
  <si>
    <t>Bearbeitender:</t>
  </si>
  <si>
    <t>Prüfdatum:</t>
  </si>
  <si>
    <t>Ermittelte</t>
  </si>
  <si>
    <t>Anzeigegenauigkeit angewendeten der Waage</t>
  </si>
  <si>
    <t>Bitte nur Zahlen in die schwarz</t>
  </si>
  <si>
    <t>Wägewerte</t>
  </si>
  <si>
    <t>Nachkommastellenzahl</t>
  </si>
  <si>
    <t>umrandeten Zellen eingeben</t>
  </si>
  <si>
    <t>für die Basiseinheit, [g]:</t>
  </si>
  <si>
    <t xml:space="preserve"> - 10 Wägewerte</t>
  </si>
  <si>
    <t>Wägung 1</t>
  </si>
  <si>
    <t xml:space="preserve"> - Nachkommastellenzahl</t>
  </si>
  <si>
    <t>Wägung 2</t>
  </si>
  <si>
    <t>Im Kalibrierschein der Waage, angegebene Kalibriergleichung</t>
  </si>
  <si>
    <t xml:space="preserve"> - Summand 1</t>
  </si>
  <si>
    <t>Wägung 3</t>
  </si>
  <si>
    <t>zur Berechnung der erweiterten Gesamt-Messunsicherheit</t>
  </si>
  <si>
    <t xml:space="preserve"> - Faktor von Summand 2</t>
  </si>
  <si>
    <t>Wägung 4</t>
  </si>
  <si>
    <t>Wägung 5</t>
  </si>
  <si>
    <t>Nebenrechnung</t>
  </si>
  <si>
    <t>Wägung 6</t>
  </si>
  <si>
    <t>Werteanzahl:</t>
  </si>
  <si>
    <t>Wägung 7</t>
  </si>
  <si>
    <t xml:space="preserve"> Vorzeichen beachten!!</t>
  </si>
  <si>
    <t>Mittelwert, g:</t>
  </si>
  <si>
    <t>Wägung 8</t>
  </si>
  <si>
    <t>Std.abw., g:</t>
  </si>
  <si>
    <t>Wägung 9</t>
  </si>
  <si>
    <t>Wägung 10</t>
  </si>
  <si>
    <t>Auswertung</t>
  </si>
  <si>
    <t>ermittelter, konventioneller Wägewert und Angabe der erweiterten Messunsicherheit (k=2)</t>
  </si>
  <si>
    <t>Prüfergebnis:</t>
  </si>
  <si>
    <t>Datum / Unterschrift, Bearbeiter</t>
  </si>
  <si>
    <r>
      <t xml:space="preserve">(k=2): </t>
    </r>
    <r>
      <rPr>
        <b/>
        <sz val="11"/>
        <color indexed="16"/>
        <rFont val="Arial"/>
        <family val="2"/>
      </rPr>
      <t>U = x + y * I</t>
    </r>
  </si>
  <si>
    <r>
      <t xml:space="preserve">Summand 1  [ </t>
    </r>
    <r>
      <rPr>
        <b/>
        <sz val="11"/>
        <color indexed="16"/>
        <rFont val="Arial"/>
        <family val="2"/>
      </rPr>
      <t>x</t>
    </r>
    <r>
      <rPr>
        <sz val="11"/>
        <rFont val="Arial"/>
        <family val="2"/>
      </rPr>
      <t xml:space="preserve"> ]: </t>
    </r>
  </si>
  <si>
    <r>
      <t xml:space="preserve">Faktor, Summand 2  [ </t>
    </r>
    <r>
      <rPr>
        <b/>
        <sz val="11"/>
        <color indexed="16"/>
        <rFont val="Arial"/>
        <family val="2"/>
      </rPr>
      <t>y</t>
    </r>
    <r>
      <rPr>
        <sz val="11"/>
        <rFont val="Arial"/>
        <family val="2"/>
      </rPr>
      <t xml:space="preserve"> ]: </t>
    </r>
  </si>
  <si>
    <t>(Quelle der Berechnung: Fa. Sartorius, Angabe zur Korrektur des Wägewertes)</t>
  </si>
  <si>
    <r>
      <t>U</t>
    </r>
    <r>
      <rPr>
        <vertAlign val="subscript"/>
        <sz val="11"/>
        <color indexed="8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</si>
  <si>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</si>
  <si>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 xml:space="preserve">U ≈ </t>
  </si>
  <si>
    <t>Messunsicherheit</t>
  </si>
  <si>
    <r>
      <t>mg</t>
    </r>
    <r>
      <rPr>
        <vertAlign val="superscript"/>
        <sz val="11"/>
        <color indexed="8"/>
        <rFont val="Calibri"/>
        <family val="2"/>
      </rPr>
      <t>2</t>
    </r>
  </si>
  <si>
    <r>
      <t>v</t>
    </r>
    <r>
      <rPr>
        <vertAlign val="subscript"/>
        <sz val="11"/>
        <color indexed="8"/>
        <rFont val="Calibri"/>
        <family val="2"/>
      </rPr>
      <t>r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</si>
  <si>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w</t>
    </r>
    <r>
      <rPr>
        <sz val="10"/>
        <rFont val="Arial"/>
        <family val="0"/>
      </rPr>
      <t>:</t>
    </r>
  </si>
  <si>
    <t>s:</t>
  </si>
  <si>
    <t>a:</t>
  </si>
  <si>
    <r>
      <t>v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</si>
  <si>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a</t>
    </r>
    <r>
      <rPr>
        <sz val="10"/>
        <rFont val="Arial"/>
        <family val="0"/>
      </rPr>
      <t>:</t>
    </r>
  </si>
  <si>
    <t>E:</t>
  </si>
  <si>
    <t>Messg. 6</t>
  </si>
  <si>
    <t>Messg. vr:</t>
  </si>
  <si>
    <t>Messg. 5</t>
  </si>
  <si>
    <t>Messg. hr:</t>
  </si>
  <si>
    <t>Messg. 4</t>
  </si>
  <si>
    <t>Messg. hl:</t>
  </si>
  <si>
    <t>Messg. 3</t>
  </si>
  <si>
    <t>Messg. vl:</t>
  </si>
  <si>
    <t>Messg. 2</t>
  </si>
  <si>
    <t>Messg. M:</t>
  </si>
  <si>
    <t>Anzeigewert</t>
  </si>
  <si>
    <t>Prüflast [g]</t>
  </si>
  <si>
    <t>Taralast [g]</t>
  </si>
  <si>
    <t>Messg. 1</t>
  </si>
  <si>
    <r>
      <t>(ai-a)</t>
    </r>
    <r>
      <rPr>
        <vertAlign val="superscript"/>
        <sz val="11"/>
        <color indexed="8"/>
        <rFont val="Calibri"/>
        <family val="2"/>
      </rPr>
      <t>2</t>
    </r>
  </si>
  <si>
    <t>ai</t>
  </si>
  <si>
    <t>Anzeigewert, g</t>
  </si>
  <si>
    <t>Empf., T:</t>
  </si>
  <si>
    <t>Differenz</t>
  </si>
  <si>
    <t>Diff.Betrag</t>
  </si>
  <si>
    <t>Blatt 3, Pkt. 5.6</t>
  </si>
  <si>
    <t>Messg. als Zahl</t>
  </si>
  <si>
    <t>P:</t>
  </si>
  <si>
    <t>Empf., P:</t>
  </si>
  <si>
    <t>Empf.,P:</t>
  </si>
  <si>
    <t>(Mit Taralast tarieren und danach Prüflast zusätzlich auflegen.)</t>
  </si>
  <si>
    <t>Richtigkeit</t>
  </si>
  <si>
    <t>Wiederholbarkeit</t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</si>
  <si>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</si>
  <si>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i/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</si>
  <si>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</si>
  <si>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Anzeigewert:</t>
  </si>
  <si>
    <r>
      <t>U</t>
    </r>
    <r>
      <rPr>
        <vertAlign val="subscript"/>
        <sz val="11"/>
        <color indexed="8"/>
        <rFont val="Calibri"/>
        <family val="2"/>
      </rPr>
      <t xml:space="preserve">i </t>
    </r>
    <r>
      <rPr>
        <sz val="10"/>
        <rFont val="Arial"/>
        <family val="0"/>
      </rPr>
      <t>(</t>
    </r>
    <r>
      <rPr>
        <i/>
        <sz val="11"/>
        <color indexed="8"/>
        <rFont val="Calibri"/>
        <family val="2"/>
      </rPr>
      <t>von P</t>
    </r>
    <r>
      <rPr>
        <i/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):</t>
    </r>
  </si>
  <si>
    <t>K. Wägewert:</t>
  </si>
  <si>
    <r>
      <t>Prüflast P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</si>
  <si>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ppm/K (gemäß Herstellerangabe)</t>
  </si>
  <si>
    <r>
      <rPr>
        <i/>
        <sz val="11"/>
        <color indexed="8"/>
        <rFont val="Calibri"/>
        <family val="2"/>
      </rPr>
      <t>TK</t>
    </r>
    <r>
      <rPr>
        <sz val="10"/>
        <rFont val="Arial"/>
        <family val="0"/>
      </rPr>
      <t>:</t>
    </r>
  </si>
  <si>
    <t>Unsicherheitsangaben, P=95% (entspr. K=2) der eingesetzten Kalibriermassestücke</t>
  </si>
  <si>
    <r>
      <t xml:space="preserve">K </t>
    </r>
    <r>
      <rPr>
        <i/>
        <sz val="11"/>
        <color indexed="8"/>
        <rFont val="Calibri"/>
        <family val="2"/>
      </rPr>
      <t>(bzw. °C)</t>
    </r>
  </si>
  <si>
    <r>
      <t>Δ</t>
    </r>
    <r>
      <rPr>
        <i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</si>
  <si>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t>Einfluss der Kalibriergewichte</t>
  </si>
  <si>
    <t>Einfluss der Temperaturschwankungen am Aufstellungsort der Waage</t>
  </si>
  <si>
    <t>Justierabweichung nahe Max.</t>
  </si>
  <si>
    <t>Messungen</t>
  </si>
  <si>
    <t>Für richtige Ergebnisse sieht Die DKD-Richtlinie vor, Kalibriermassestücke der Fehlergrenzklasse E2 oder besser zu benutzen.</t>
  </si>
  <si>
    <t>Bitte beachten: Ein möglicher Luftauftrieb der Kalibriermassestücke wird in dieser Auswertung nicht berücksichtigt.</t>
  </si>
  <si>
    <t>(Die Berechnungen wurden erfolgreich geprüft mit DKD-R 7-1, Blatt 3, Pkt. 8.2 (Teilung 1) und DKD-R 7-1, Blatt 2, Pkt. 8.1)</t>
  </si>
  <si>
    <t>Empf.,P0:</t>
  </si>
  <si>
    <t>Prüflast P0:</t>
  </si>
  <si>
    <t>Ui (von P0):</t>
  </si>
  <si>
    <t>ΔT:</t>
  </si>
  <si>
    <t>K (bzw. °C)</t>
  </si>
  <si>
    <t>TK:</t>
  </si>
  <si>
    <t>Messg.1  (T0)</t>
  </si>
  <si>
    <t>Messg.2  (T1)</t>
  </si>
  <si>
    <t>Messg.3  (T2)</t>
  </si>
  <si>
    <t>Messg.4  (T3)</t>
  </si>
  <si>
    <t>Messg.5  (T1)</t>
  </si>
  <si>
    <t>Ermittelte Kenndaten:</t>
  </si>
  <si>
    <t>Zwischen: 2560g und 3200g</t>
  </si>
  <si>
    <t>Zwischen: 320g und 3200g</t>
  </si>
  <si>
    <t>Zwischen: 960g und 3200g</t>
  </si>
  <si>
    <t>Beispiel: DKD-R 7-1, Blatt 3, Pkt. 8.2</t>
  </si>
  <si>
    <t>Beispiel: DKD-R 7-1, Blatt 2, Pkt. 8.1</t>
  </si>
  <si>
    <t>50,0000</t>
  </si>
  <si>
    <t>50,0001</t>
  </si>
  <si>
    <t>100,0000</t>
  </si>
  <si>
    <t>100,0002</t>
  </si>
  <si>
    <t>100,0001</t>
  </si>
  <si>
    <t>99,9999</t>
  </si>
  <si>
    <t>Zwischen: 160g und 210g</t>
  </si>
  <si>
    <t>T0 = 0 ; T1 ≈ 50g ; T2 ≈ 100g ; T3 ≈ 150g</t>
  </si>
  <si>
    <t>Einsatzbereich: Diese Kalibriervorlage ist in gemäß der DKD-Richtlinie empfohlen für Einbereichswaagen mit Teilungswert ≥ 0,01 mg</t>
  </si>
  <si>
    <t xml:space="preserve">Kalibrierung von Waagen im Labor </t>
  </si>
  <si>
    <r>
      <t>Unsicherheitsangaben, P=95% (entspr. K=2) der eingesetzten Prüflast P</t>
    </r>
    <r>
      <rPr>
        <vertAlign val="subscript"/>
        <sz val="9"/>
        <rFont val="Arial"/>
        <family val="2"/>
      </rPr>
      <t>0</t>
    </r>
  </si>
  <si>
    <t>Prüflast P:</t>
  </si>
  <si>
    <r>
      <t>Empf.,P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:</t>
    </r>
  </si>
  <si>
    <t>Aktuelle Raumtemperatur [°C]:</t>
  </si>
  <si>
    <t>Angegebene Höchstlast [g]:</t>
  </si>
  <si>
    <t>Min. Ablesbarkeit, d [mg]:</t>
  </si>
  <si>
    <t>(Varianz des Einflusses der Rundung auf den jeweiligen Teilungswert)</t>
  </si>
  <si>
    <t>(Varianz der Abweichung bei außermittiger Belastung)</t>
  </si>
  <si>
    <t>(Varianz der Linearitätsabweichung)</t>
  </si>
  <si>
    <t>(Varianz des konventionellen Wägewertes der Kalibrierbelastung)</t>
  </si>
  <si>
    <r>
      <t>v</t>
    </r>
    <r>
      <rPr>
        <vertAlign val="subscript"/>
        <sz val="11"/>
        <color indexed="8"/>
        <rFont val="Calibri"/>
        <family val="2"/>
      </rPr>
      <t>K</t>
    </r>
    <r>
      <rPr>
        <sz val="10"/>
        <rFont val="Arial"/>
        <family val="0"/>
      </rPr>
      <t>: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</si>
  <si>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0)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</si>
  <si>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Höchstlast der Waage)</t>
    </r>
  </si>
  <si>
    <t>(Varianz der Wiederholmessungen)</t>
  </si>
  <si>
    <t>Hier in die gelb hinterlegt markierten Zellen die abgefragten Daten eintragen.</t>
  </si>
  <si>
    <t>Die abgefragten Daten richten sich nach den Anforderungen der DKD-Richtlinie 7-1.</t>
  </si>
  <si>
    <t>Einige der Abfrage-Zellen der Tabelle enthalten erläuternde Kommentare.</t>
  </si>
  <si>
    <t>Nähere Informationen hierzu, siehe dort.</t>
  </si>
  <si>
    <t>(Varianz des Einflusses der Temperatur auf die Kennlinie)</t>
  </si>
  <si>
    <t>Höchstlast</t>
  </si>
  <si>
    <t>Min.Ablesb., L</t>
  </si>
  <si>
    <t>Prüfung auf korrekte Datenanzahl</t>
  </si>
  <si>
    <r>
      <t>ppm/K</t>
    </r>
    <r>
      <rPr>
        <sz val="10"/>
        <rFont val="Arial"/>
        <family val="0"/>
      </rPr>
      <t xml:space="preserve"> (gemäß Herstellerangabe)</t>
    </r>
  </si>
  <si>
    <t>U:</t>
  </si>
  <si>
    <t>1,4E-04 + 3,7E-06 * W</t>
  </si>
  <si>
    <t>Ergebnisse gemäß DKD-R 7-1, Blatt 3, Pkt. 8.2:</t>
  </si>
  <si>
    <r>
      <t>v</t>
    </r>
    <r>
      <rPr>
        <vertAlign val="subscript"/>
        <sz val="11"/>
        <color indexed="60"/>
        <rFont val="Calibri"/>
        <family val="2"/>
      </rPr>
      <t>w</t>
    </r>
    <r>
      <rPr>
        <sz val="10"/>
        <color indexed="60"/>
        <rFont val="Arial"/>
        <family val="2"/>
      </rPr>
      <t>:</t>
    </r>
  </si>
  <si>
    <r>
      <t>mg</t>
    </r>
    <r>
      <rPr>
        <vertAlign val="superscript"/>
        <sz val="11"/>
        <color indexed="60"/>
        <rFont val="Calibri"/>
        <family val="2"/>
      </rPr>
      <t>2</t>
    </r>
  </si>
  <si>
    <r>
      <t>v</t>
    </r>
    <r>
      <rPr>
        <vertAlign val="subscript"/>
        <sz val="11"/>
        <color indexed="60"/>
        <rFont val="Calibri"/>
        <family val="2"/>
      </rPr>
      <t>r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</si>
  <si>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e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</si>
  <si>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a</t>
    </r>
    <r>
      <rPr>
        <sz val="10"/>
        <color indexed="60"/>
        <rFont val="Arial"/>
        <family val="2"/>
      </rPr>
      <t>:</t>
    </r>
  </si>
  <si>
    <r>
      <t>v</t>
    </r>
    <r>
      <rPr>
        <i/>
        <vertAlign val="subscript"/>
        <sz val="11"/>
        <color indexed="60"/>
        <rFont val="Calibri"/>
        <family val="2"/>
      </rPr>
      <t>T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</si>
  <si>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</si>
  <si>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</si>
  <si>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color indexed="60"/>
        <rFont val="Arial"/>
        <family val="2"/>
      </rPr>
      <t>:</t>
    </r>
  </si>
  <si>
    <t>0,00014 + 3,7E-06 * W</t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</si>
  <si>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</si>
  <si>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</si>
  <si>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rFont val="Arial"/>
        <family val="0"/>
      </rPr>
      <t>:</t>
    </r>
  </si>
  <si>
    <t>Ergebnisse gemäß DKD-R 7-1, Blatt 2, Pkt. 8.1:</t>
  </si>
  <si>
    <t>1,2 + 9,1E-04 * W</t>
  </si>
  <si>
    <r>
      <t>E</t>
    </r>
    <r>
      <rPr>
        <b/>
        <vertAlign val="subscript"/>
        <sz val="12"/>
        <rFont val="Verdana"/>
        <family val="2"/>
      </rPr>
      <t xml:space="preserve"> 1</t>
    </r>
  </si>
  <si>
    <r>
      <t>E</t>
    </r>
    <r>
      <rPr>
        <b/>
        <vertAlign val="subscript"/>
        <sz val="12"/>
        <rFont val="Verdana"/>
        <family val="2"/>
      </rPr>
      <t xml:space="preserve"> 2</t>
    </r>
  </si>
  <si>
    <r>
      <t>F</t>
    </r>
    <r>
      <rPr>
        <b/>
        <vertAlign val="subscript"/>
        <sz val="12"/>
        <rFont val="Verdana"/>
        <family val="2"/>
      </rPr>
      <t xml:space="preserve"> 1</t>
    </r>
  </si>
  <si>
    <r>
      <t>F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</si>
  <si>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1</t>
    </r>
  </si>
  <si>
    <r>
      <t>M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</si>
  <si>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3</t>
    </r>
  </si>
  <si>
    <t>Quelle: www.kern-sohn.com</t>
  </si>
  <si>
    <t>Grenzklasse:</t>
  </si>
  <si>
    <t>(Ein Tool zur Kalibrierung von Einbereichswaagen entsprechend der DKD-Richtlinie 7-1)</t>
  </si>
  <si>
    <t>≈ 50g  (alle Messg.)</t>
  </si>
  <si>
    <t>P1 = 640 bis 890g ;  P2 = 1280 bis 1920g ;  P3 = 1920 bis 2560g</t>
  </si>
  <si>
    <t>T0 = 0g ;  T1 = 800g bis 1280g</t>
  </si>
  <si>
    <t xml:space="preserve">  (Unterschied vermutlich durch Rundung in den Beispieldaten verursacht)</t>
  </si>
  <si>
    <t>M.1  (P1 ; T0)</t>
  </si>
  <si>
    <t>M.2  (P2 ; T0)</t>
  </si>
  <si>
    <t>M.3  (P3 ; T0)</t>
  </si>
  <si>
    <t>M.4  (P1 ; T1)</t>
  </si>
  <si>
    <t>M.5  (P2 ; T1)</t>
  </si>
  <si>
    <r>
      <t>U</t>
    </r>
    <r>
      <rPr>
        <vertAlign val="subscript"/>
        <sz val="10"/>
        <color indexed="12"/>
        <rFont val="Arial"/>
        <family val="2"/>
      </rPr>
      <t>abs</t>
    </r>
    <r>
      <rPr>
        <sz val="10"/>
        <color indexed="12"/>
        <rFont val="Arial"/>
        <family val="2"/>
      </rPr>
      <t xml:space="preserve"> (k=1)</t>
    </r>
  </si>
  <si>
    <r>
      <t>U</t>
    </r>
    <r>
      <rPr>
        <vertAlign val="subscript"/>
        <sz val="10"/>
        <color indexed="12"/>
        <rFont val="Arial"/>
        <family val="2"/>
      </rPr>
      <t>rel</t>
    </r>
    <r>
      <rPr>
        <sz val="10"/>
        <color indexed="12"/>
        <rFont val="Arial"/>
        <family val="2"/>
      </rPr>
      <t xml:space="preserve"> (k=1)</t>
    </r>
  </si>
  <si>
    <r>
      <rPr>
        <sz val="10"/>
        <color indexed="12"/>
        <rFont val="Arial"/>
        <family val="2"/>
      </rPr>
      <t>Revision 1b</t>
    </r>
    <r>
      <rPr>
        <sz val="10"/>
        <rFont val="Arial"/>
        <family val="2"/>
      </rPr>
      <t>; Stand: 22.08.2020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</si>
</sst>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"/>
    <numFmt numFmtId="167" formatCode="0.00000"/>
    <numFmt numFmtId="168" formatCode="0.0000"/>
    <numFmt numFmtId="169" formatCode="0.000000"/>
    <numFmt numFmtId="170" formatCode="0.0000000"/>
    <numFmt numFmtId="171" formatCode="0.000"/>
    <numFmt numFmtId="172" formatCode="0.00000000"/>
    <numFmt numFmtId="173" formatCode="0.000E+00"/>
    <numFmt numFmtId="174" formatCode="0.0"/>
    <numFmt numFmtId="175" formatCode="General&quot; g&quot;"/>
    <numFmt numFmtId="176" formatCode="&quot;± &quot;0.00&quot; g&quot;"/>
    <numFmt numFmtId="177" formatCode="&quot;± &quot;0.00&quot; mg&quot;"/>
    <numFmt numFmtId="178" formatCode="0&quot; %&quot;"/>
    <numFmt numFmtId="179" formatCode="&quot;± &quot;0&quot; %&quot;"/>
    <numFmt numFmtId="180" formatCode="&quot;± &quot;0.0&quot; %&quot;"/>
    <numFmt numFmtId="181" formatCode="&quot;± &quot;0.000&quot; mg&quot;"/>
    <numFmt numFmtId="182" formatCode="0.000E+00&quot; g&quot;"/>
    <numFmt numFmtId="183" formatCode="General&quot;     &quot;"/>
    <numFmt numFmtId="184" formatCode="&quot;     &quot;General"/>
    <numFmt numFmtId="185" formatCode="[$-407]dddd\,\ d\.\ mmmm\ yyyy"/>
    <numFmt numFmtId="186" formatCode="General&quot; mg&quot;"/>
    <numFmt numFmtId="187" formatCode="General&quot; °C&quot;"/>
    <numFmt numFmtId="188" formatCode="0.0%"/>
    <numFmt numFmtId="189" formatCode="0.0&quot; mg&quot;"/>
    <numFmt numFmtId="190" formatCode="0.000&quot; %&quot;"/>
    <numFmt numFmtId="191" formatCode="0.0000&quot; %&quot;"/>
    <numFmt numFmtId="192" formatCode="0.00000&quot; %&quot;"/>
    <numFmt numFmtId="193" formatCode="0.000000&quot; %&quot;"/>
    <numFmt numFmtId="194" formatCode="0.0000000&quot; %&quot;"/>
    <numFmt numFmtId="195" formatCode="0.00000000&quot; %&quot;"/>
    <numFmt numFmtId="196" formatCode="0.000000000&quot; %&quot;"/>
    <numFmt numFmtId="197" formatCode="mm\ yyyy"/>
    <numFmt numFmtId="198" formatCode="mm/yyyy"/>
    <numFmt numFmtId="199" formatCode="mmm\ yyyy"/>
    <numFmt numFmtId="200" formatCode="General&quot; &quot;"/>
    <numFmt numFmtId="201" formatCode="General&quot; Nachkommastellen&quot;"/>
    <numFmt numFmtId="202" formatCode="&quot;Nachkommastellen: &quot;General"/>
    <numFmt numFmtId="203" formatCode="&quot;Spalte: &quot;General"/>
    <numFmt numFmtId="204" formatCode="&quot;Nachkommastellenzahl: &quot;General"/>
    <numFmt numFmtId="205" formatCode="&quot;=&gt; &quot;General&quot; g&quot;"/>
    <numFmt numFmtId="206" formatCode="&quot;± &quot;General&quot; mg&quot;"/>
    <numFmt numFmtId="207" formatCode="General&quot; %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&quot;± &quot;0.00&quot; %&quot;"/>
    <numFmt numFmtId="213" formatCode="&quot;I = &quot;General&quot; g&quot;"/>
    <numFmt numFmtId="214" formatCode="00000"/>
    <numFmt numFmtId="215" formatCode="&quot;U =  ± &quot;General&quot; mg&quot;"/>
    <numFmt numFmtId="216" formatCode="0.0000000000"/>
    <numFmt numFmtId="217" formatCode="0.00000000000"/>
    <numFmt numFmtId="218" formatCode="0.0E+00&quot; g&quot;"/>
    <numFmt numFmtId="219" formatCode="0.0E+00"/>
    <numFmt numFmtId="220" formatCode="&quot;Ja&quot;;&quot;Ja&quot;;&quot;Nein&quot;"/>
    <numFmt numFmtId="221" formatCode="&quot;Wahr&quot;;&quot;Wahr&quot;;&quot;Falsch&quot;"/>
    <numFmt numFmtId="222" formatCode="&quot;Ein&quot;;&quot;Ein&quot;;&quot;Aus&quot;"/>
    <numFmt numFmtId="223" formatCode="[$€-2]\ #,##0.00_);[Red]\([$€-2]\ #,##0.00\)"/>
    <numFmt numFmtId="224" formatCode="0E+00"/>
  </numFmts>
  <fonts count="1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Verdana"/>
      <family val="2"/>
    </font>
    <font>
      <i/>
      <sz val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sz val="8.5"/>
      <color indexed="8"/>
      <name val="Verdana"/>
      <family val="2"/>
    </font>
    <font>
      <b/>
      <u val="single"/>
      <sz val="8.5"/>
      <color indexed="8"/>
      <name val="Verdana"/>
      <family val="2"/>
    </font>
    <font>
      <u val="single"/>
      <sz val="8.5"/>
      <name val="Verdana"/>
      <family val="2"/>
    </font>
    <font>
      <u val="single"/>
      <sz val="8.5"/>
      <color indexed="8"/>
      <name val="Verdana"/>
      <family val="2"/>
    </font>
    <font>
      <sz val="8.5"/>
      <name val="Verdana"/>
      <family val="2"/>
    </font>
    <font>
      <sz val="11"/>
      <color indexed="12"/>
      <name val="Verdana"/>
      <family val="2"/>
    </font>
    <font>
      <b/>
      <sz val="11"/>
      <color indexed="12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60"/>
      <name val="Arial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color indexed="63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8"/>
      <color indexed="8"/>
      <name val="Courier New"/>
      <family val="3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.5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6"/>
      <name val="Arial"/>
      <family val="2"/>
    </font>
    <font>
      <sz val="11"/>
      <color indexed="9"/>
      <name val="Arial"/>
      <family val="2"/>
    </font>
    <font>
      <b/>
      <sz val="11"/>
      <color indexed="16"/>
      <name val="Arial"/>
      <family val="2"/>
    </font>
    <font>
      <sz val="11"/>
      <color indexed="10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bscript"/>
      <sz val="9"/>
      <name val="Segoe UI"/>
      <family val="2"/>
    </font>
    <font>
      <vertAlign val="subscript"/>
      <sz val="9"/>
      <name val="Arial"/>
      <family val="2"/>
    </font>
    <font>
      <sz val="4"/>
      <name val="Segoe UI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vertAlign val="subscript"/>
      <sz val="11"/>
      <color indexed="60"/>
      <name val="Calibri"/>
      <family val="2"/>
    </font>
    <font>
      <vertAlign val="superscript"/>
      <sz val="11"/>
      <color indexed="60"/>
      <name val="Calibri"/>
      <family val="2"/>
    </font>
    <font>
      <i/>
      <vertAlign val="subscript"/>
      <sz val="11"/>
      <color indexed="60"/>
      <name val="Calibri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sz val="8"/>
      <name val="Verdana"/>
      <family val="2"/>
    </font>
    <font>
      <sz val="10"/>
      <name val="Calibri"/>
      <family val="2"/>
    </font>
    <font>
      <i/>
      <sz val="9"/>
      <name val="Segoe U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3"/>
      <name val="Arial"/>
      <family val="2"/>
    </font>
    <font>
      <u val="single"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4"/>
      <color indexed="8"/>
      <name val="+mn-e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theme="9"/>
      <name val="Arial"/>
      <family val="2"/>
    </font>
    <font>
      <u val="single"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i/>
      <sz val="10"/>
      <color theme="9" tint="-0.4999699890613556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6" borderId="2" applyNumberFormat="0" applyAlignment="0" applyProtection="0"/>
    <xf numFmtId="0" fontId="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5" fillId="27" borderId="2" applyNumberFormat="0" applyAlignment="0" applyProtection="0"/>
    <xf numFmtId="0" fontId="116" fillId="0" borderId="3" applyNumberFormat="0" applyFill="0" applyAlignment="0" applyProtection="0"/>
    <xf numFmtId="0" fontId="117" fillId="0" borderId="0" applyNumberFormat="0" applyFill="0" applyBorder="0" applyAlignment="0" applyProtection="0"/>
    <xf numFmtId="0" fontId="118" fillId="2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120" fillId="31" borderId="0" applyNumberFormat="0" applyBorder="0" applyAlignment="0" applyProtection="0"/>
    <xf numFmtId="0" fontId="0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21" fillId="0" borderId="0" applyNumberFormat="0" applyFill="0" applyBorder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32" borderId="9" applyNumberFormat="0" applyAlignment="0" applyProtection="0"/>
  </cellStyleXfs>
  <cellXfs count="346">
    <xf numFmtId="0" fontId="0" fillId="0" borderId="0" xfId="0" applyAlignment="1">
      <alignment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26" fillId="33" borderId="0" xfId="0" applyNumberFormat="1" applyFont="1" applyFill="1" applyAlignment="1" applyProtection="1">
      <alignment vertical="center"/>
      <protection/>
    </xf>
    <xf numFmtId="0" fontId="2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0" xfId="0" applyNumberFormat="1" applyFont="1" applyFill="1" applyAlignment="1" applyProtection="1">
      <alignment horizontal="right"/>
      <protection/>
    </xf>
    <xf numFmtId="0" fontId="26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30" fillId="33" borderId="0" xfId="0" applyNumberFormat="1" applyFont="1" applyFill="1" applyAlignment="1" applyProtection="1">
      <alignment/>
      <protection/>
    </xf>
    <xf numFmtId="0" fontId="30" fillId="33" borderId="0" xfId="0" applyFont="1" applyFill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31" fillId="33" borderId="13" xfId="0" applyNumberFormat="1" applyFont="1" applyFill="1" applyBorder="1" applyAlignment="1" applyProtection="1">
      <alignment vertical="center"/>
      <protection/>
    </xf>
    <xf numFmtId="0" fontId="29" fillId="33" borderId="14" xfId="0" applyNumberFormat="1" applyFont="1" applyFill="1" applyBorder="1" applyAlignment="1" applyProtection="1">
      <alignment/>
      <protection/>
    </xf>
    <xf numFmtId="0" fontId="29" fillId="33" borderId="15" xfId="0" applyNumberFormat="1" applyFont="1" applyFill="1" applyBorder="1" applyAlignment="1" applyProtection="1">
      <alignment/>
      <protection/>
    </xf>
    <xf numFmtId="0" fontId="29" fillId="33" borderId="16" xfId="0" applyNumberFormat="1" applyFont="1" applyFill="1" applyBorder="1" applyAlignment="1" applyProtection="1">
      <alignment horizontal="center"/>
      <protection/>
    </xf>
    <xf numFmtId="0" fontId="29" fillId="33" borderId="17" xfId="0" applyNumberFormat="1" applyFont="1" applyFill="1" applyBorder="1" applyAlignment="1" applyProtection="1">
      <alignment/>
      <protection/>
    </xf>
    <xf numFmtId="0" fontId="29" fillId="33" borderId="1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/>
      <protection/>
    </xf>
    <xf numFmtId="187" fontId="0" fillId="33" borderId="11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left"/>
      <protection locked="0"/>
    </xf>
    <xf numFmtId="0" fontId="29" fillId="33" borderId="20" xfId="0" applyNumberFormat="1" applyFont="1" applyFill="1" applyBorder="1" applyAlignment="1" applyProtection="1">
      <alignment/>
      <protection/>
    </xf>
    <xf numFmtId="0" fontId="29" fillId="33" borderId="21" xfId="0" applyNumberFormat="1" applyFont="1" applyFill="1" applyBorder="1" applyAlignment="1" applyProtection="1">
      <alignment/>
      <protection/>
    </xf>
    <xf numFmtId="0" fontId="29" fillId="33" borderId="2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11" fillId="33" borderId="0" xfId="53" applyFont="1" applyFill="1">
      <alignment/>
      <protection/>
    </xf>
    <xf numFmtId="0" fontId="0" fillId="33" borderId="0" xfId="53" applyFill="1">
      <alignment/>
      <protection/>
    </xf>
    <xf numFmtId="0" fontId="4" fillId="33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12" fillId="33" borderId="0" xfId="53" applyFont="1" applyFill="1" applyAlignment="1">
      <alignment vertical="top"/>
      <protection/>
    </xf>
    <xf numFmtId="0" fontId="14" fillId="33" borderId="0" xfId="53" applyFont="1" applyFill="1" applyAlignment="1">
      <alignment vertical="top" wrapText="1"/>
      <protection/>
    </xf>
    <xf numFmtId="0" fontId="19" fillId="35" borderId="23" xfId="53" applyFont="1" applyFill="1" applyBorder="1" applyAlignment="1">
      <alignment wrapText="1"/>
      <protection/>
    </xf>
    <xf numFmtId="0" fontId="20" fillId="35" borderId="24" xfId="53" applyFont="1" applyFill="1" applyBorder="1" applyAlignment="1">
      <alignment horizontal="right" wrapText="1"/>
      <protection/>
    </xf>
    <xf numFmtId="0" fontId="21" fillId="35" borderId="25" xfId="53" applyFont="1" applyFill="1" applyBorder="1" applyAlignment="1">
      <alignment horizontal="right" wrapText="1"/>
      <protection/>
    </xf>
    <xf numFmtId="0" fontId="22" fillId="36" borderId="26" xfId="53" applyFont="1" applyFill="1" applyBorder="1" applyAlignment="1">
      <alignment horizontal="right" wrapText="1"/>
      <protection/>
    </xf>
    <xf numFmtId="0" fontId="22" fillId="37" borderId="27" xfId="53" applyFont="1" applyFill="1" applyBorder="1" applyAlignment="1">
      <alignment horizontal="right" wrapText="1"/>
      <protection/>
    </xf>
    <xf numFmtId="0" fontId="22" fillId="38" borderId="27" xfId="53" applyFont="1" applyFill="1" applyBorder="1" applyAlignment="1">
      <alignment horizontal="right" wrapText="1"/>
      <protection/>
    </xf>
    <xf numFmtId="0" fontId="23" fillId="38" borderId="27" xfId="53" applyFont="1" applyFill="1" applyBorder="1" applyAlignment="1">
      <alignment wrapText="1"/>
      <protection/>
    </xf>
    <xf numFmtId="0" fontId="24" fillId="35" borderId="25" xfId="53" applyFont="1" applyFill="1" applyBorder="1" applyAlignment="1">
      <alignment horizontal="right" wrapText="1"/>
      <protection/>
    </xf>
    <xf numFmtId="0" fontId="24" fillId="35" borderId="24" xfId="53" applyFont="1" applyFill="1" applyBorder="1" applyAlignment="1">
      <alignment horizontal="right" wrapText="1"/>
      <protection/>
    </xf>
    <xf numFmtId="0" fontId="22" fillId="36" borderId="28" xfId="53" applyFont="1" applyFill="1" applyBorder="1" applyAlignment="1">
      <alignment horizontal="right" wrapText="1"/>
      <protection/>
    </xf>
    <xf numFmtId="0" fontId="22" fillId="37" borderId="29" xfId="53" applyFont="1" applyFill="1" applyBorder="1" applyAlignment="1">
      <alignment horizontal="right" wrapText="1"/>
      <protection/>
    </xf>
    <xf numFmtId="0" fontId="22" fillId="38" borderId="29" xfId="53" applyFont="1" applyFill="1" applyBorder="1" applyAlignment="1">
      <alignment horizontal="right" wrapText="1"/>
      <protection/>
    </xf>
    <xf numFmtId="0" fontId="23" fillId="38" borderId="29" xfId="53" applyFont="1" applyFill="1" applyBorder="1" applyAlignment="1">
      <alignment wrapText="1"/>
      <protection/>
    </xf>
    <xf numFmtId="0" fontId="24" fillId="35" borderId="30" xfId="53" applyFont="1" applyFill="1" applyBorder="1" applyAlignment="1">
      <alignment horizontal="right" wrapText="1"/>
      <protection/>
    </xf>
    <xf numFmtId="0" fontId="22" fillId="36" borderId="31" xfId="53" applyFont="1" applyFill="1" applyBorder="1" applyAlignment="1">
      <alignment horizontal="right" wrapText="1"/>
      <protection/>
    </xf>
    <xf numFmtId="0" fontId="22" fillId="37" borderId="32" xfId="53" applyFont="1" applyFill="1" applyBorder="1" applyAlignment="1">
      <alignment horizontal="right" wrapText="1"/>
      <protection/>
    </xf>
    <xf numFmtId="0" fontId="22" fillId="38" borderId="32" xfId="53" applyFont="1" applyFill="1" applyBorder="1" applyAlignment="1">
      <alignment horizontal="right" wrapText="1"/>
      <protection/>
    </xf>
    <xf numFmtId="186" fontId="5" fillId="33" borderId="10" xfId="0" applyNumberFormat="1" applyFont="1" applyFill="1" applyBorder="1" applyAlignment="1" applyProtection="1">
      <alignment horizontal="center"/>
      <protection/>
    </xf>
    <xf numFmtId="0" fontId="5" fillId="33" borderId="33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 locked="0"/>
    </xf>
    <xf numFmtId="175" fontId="25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Alignment="1" applyProtection="1">
      <alignment horizontal="center"/>
      <protection/>
    </xf>
    <xf numFmtId="0" fontId="34" fillId="33" borderId="11" xfId="0" applyNumberFormat="1" applyFont="1" applyFill="1" applyBorder="1" applyAlignment="1" applyProtection="1">
      <alignment horizontal="left"/>
      <protection/>
    </xf>
    <xf numFmtId="205" fontId="33" fillId="33" borderId="34" xfId="0" applyNumberFormat="1" applyFont="1" applyFill="1" applyBorder="1" applyAlignment="1" applyProtection="1">
      <alignment/>
      <protection/>
    </xf>
    <xf numFmtId="11" fontId="32" fillId="33" borderId="33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5" xfId="0" applyNumberFormat="1" applyFill="1" applyBorder="1" applyAlignment="1" applyProtection="1">
      <alignment/>
      <protection/>
    </xf>
    <xf numFmtId="0" fontId="28" fillId="33" borderId="0" xfId="0" applyNumberFormat="1" applyFont="1" applyFill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0" fillId="33" borderId="0" xfId="54" applyFont="1" applyFill="1">
      <alignment/>
      <protection/>
    </xf>
    <xf numFmtId="0" fontId="111" fillId="33" borderId="0" xfId="54" applyFill="1">
      <alignment/>
      <protection/>
    </xf>
    <xf numFmtId="0" fontId="111" fillId="33" borderId="0" xfId="54" applyFill="1" applyAlignment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4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0" applyFont="1" applyFill="1" applyAlignment="1" applyProtection="1">
      <alignment/>
      <protection hidden="1"/>
    </xf>
    <xf numFmtId="0" fontId="55" fillId="33" borderId="0" xfId="48" applyFont="1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57" fillId="33" borderId="36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/>
      <protection/>
    </xf>
    <xf numFmtId="0" fontId="57" fillId="33" borderId="37" xfId="0" applyFont="1" applyFill="1" applyBorder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9" fillId="33" borderId="39" xfId="0" applyFont="1" applyFill="1" applyBorder="1" applyAlignment="1" applyProtection="1">
      <alignment horizontal="centerContinuous"/>
      <protection/>
    </xf>
    <xf numFmtId="0" fontId="57" fillId="33" borderId="40" xfId="0" applyFont="1" applyFill="1" applyBorder="1" applyAlignment="1" applyProtection="1">
      <alignment horizontal="centerContinuous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57" fillId="33" borderId="21" xfId="0" applyFont="1" applyFill="1" applyBorder="1" applyAlignment="1" applyProtection="1">
      <alignment horizontal="left"/>
      <protection locked="0"/>
    </xf>
    <xf numFmtId="0" fontId="57" fillId="33" borderId="41" xfId="0" applyFont="1" applyFill="1" applyBorder="1" applyAlignment="1" applyProtection="1">
      <alignment horizontal="left"/>
      <protection locked="0"/>
    </xf>
    <xf numFmtId="14" fontId="57" fillId="33" borderId="41" xfId="0" applyNumberFormat="1" applyFont="1" applyFill="1" applyBorder="1" applyAlignment="1" applyProtection="1">
      <alignment horizontal="left"/>
      <protection locked="0"/>
    </xf>
    <xf numFmtId="0" fontId="57" fillId="33" borderId="39" xfId="0" applyFont="1" applyFill="1" applyBorder="1" applyAlignment="1" applyProtection="1">
      <alignment/>
      <protection/>
    </xf>
    <xf numFmtId="0" fontId="57" fillId="33" borderId="11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57" fillId="33" borderId="0" xfId="0" applyNumberFormat="1" applyFont="1" applyFill="1" applyBorder="1" applyAlignment="1" applyProtection="1">
      <alignment/>
      <protection/>
    </xf>
    <xf numFmtId="0" fontId="57" fillId="33" borderId="42" xfId="0" applyNumberFormat="1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21" fillId="33" borderId="38" xfId="0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 vertical="center"/>
      <protection/>
    </xf>
    <xf numFmtId="200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vertical="center"/>
      <protection/>
    </xf>
    <xf numFmtId="0" fontId="57" fillId="33" borderId="33" xfId="0" applyFont="1" applyFill="1" applyBorder="1" applyAlignment="1" applyProtection="1">
      <alignment vertical="center"/>
      <protection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42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0" fillId="33" borderId="38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right"/>
      <protection/>
    </xf>
    <xf numFmtId="0" fontId="57" fillId="33" borderId="1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Alignment="1" applyProtection="1">
      <alignment horizontal="left"/>
      <protection/>
    </xf>
    <xf numFmtId="0" fontId="57" fillId="33" borderId="0" xfId="0" applyNumberFormat="1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49" fontId="57" fillId="33" borderId="10" xfId="0" applyNumberFormat="1" applyFont="1" applyFill="1" applyBorder="1" applyAlignment="1" applyProtection="1">
      <alignment horizontal="center"/>
      <protection locked="0"/>
    </xf>
    <xf numFmtId="175" fontId="57" fillId="33" borderId="0" xfId="0" applyNumberFormat="1" applyFont="1" applyFill="1" applyBorder="1" applyAlignment="1" applyProtection="1">
      <alignment horizontal="left" vertical="center"/>
      <protection/>
    </xf>
    <xf numFmtId="168" fontId="57" fillId="33" borderId="11" xfId="0" applyNumberFormat="1" applyFont="1" applyFill="1" applyBorder="1" applyAlignment="1" applyProtection="1">
      <alignment horizontal="right"/>
      <protection/>
    </xf>
    <xf numFmtId="168" fontId="57" fillId="33" borderId="0" xfId="0" applyNumberFormat="1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25" fillId="33" borderId="43" xfId="0" applyFont="1" applyFill="1" applyBorder="1" applyAlignment="1" applyProtection="1">
      <alignment/>
      <protection/>
    </xf>
    <xf numFmtId="0" fontId="57" fillId="33" borderId="4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41" fillId="33" borderId="0" xfId="55" applyFont="1" applyFill="1">
      <alignment/>
      <protection/>
    </xf>
    <xf numFmtId="0" fontId="42" fillId="33" borderId="0" xfId="55" applyFont="1" applyFill="1">
      <alignment/>
      <protection/>
    </xf>
    <xf numFmtId="0" fontId="43" fillId="33" borderId="0" xfId="55" applyFont="1" applyFill="1">
      <alignment/>
      <protection/>
    </xf>
    <xf numFmtId="0" fontId="44" fillId="33" borderId="0" xfId="55" applyFont="1" applyFill="1" applyBorder="1">
      <alignment/>
      <protection/>
    </xf>
    <xf numFmtId="0" fontId="42" fillId="33" borderId="10" xfId="55" applyFont="1" applyFill="1" applyBorder="1" applyProtection="1">
      <alignment/>
      <protection locked="0"/>
    </xf>
    <xf numFmtId="11" fontId="42" fillId="33" borderId="10" xfId="55" applyNumberFormat="1" applyFont="1" applyFill="1" applyBorder="1" applyProtection="1">
      <alignment/>
      <protection locked="0"/>
    </xf>
    <xf numFmtId="0" fontId="45" fillId="33" borderId="0" xfId="55" applyFont="1" applyFill="1">
      <alignment/>
      <protection/>
    </xf>
    <xf numFmtId="167" fontId="45" fillId="33" borderId="43" xfId="55" applyNumberFormat="1" applyFont="1" applyFill="1" applyBorder="1">
      <alignment/>
      <protection/>
    </xf>
    <xf numFmtId="166" fontId="42" fillId="33" borderId="0" xfId="55" applyNumberFormat="1" applyFont="1" applyFill="1">
      <alignment/>
      <protection/>
    </xf>
    <xf numFmtId="0" fontId="46" fillId="33" borderId="0" xfId="55" applyFont="1" applyFill="1">
      <alignment/>
      <protection/>
    </xf>
    <xf numFmtId="0" fontId="42" fillId="33" borderId="11" xfId="55" applyFont="1" applyFill="1" applyBorder="1">
      <alignment/>
      <protection/>
    </xf>
    <xf numFmtId="0" fontId="47" fillId="0" borderId="44" xfId="55" applyFont="1" applyBorder="1" applyAlignment="1">
      <alignment horizontal="left" vertical="center" wrapText="1"/>
      <protection/>
    </xf>
    <xf numFmtId="0" fontId="47" fillId="0" borderId="45" xfId="55" applyFont="1" applyBorder="1" applyAlignment="1">
      <alignment horizontal="right" vertical="center" wrapText="1"/>
      <protection/>
    </xf>
    <xf numFmtId="0" fontId="47" fillId="0" borderId="46" xfId="55" applyFont="1" applyBorder="1" applyAlignment="1">
      <alignment horizontal="left" vertical="center" wrapText="1"/>
      <protection/>
    </xf>
    <xf numFmtId="0" fontId="47" fillId="0" borderId="44" xfId="55" applyFont="1" applyBorder="1" applyAlignment="1">
      <alignment horizontal="right" vertical="center" wrapText="1"/>
      <protection/>
    </xf>
    <xf numFmtId="0" fontId="24" fillId="0" borderId="47" xfId="55" applyFont="1" applyBorder="1" applyAlignment="1">
      <alignment horizontal="left" vertical="center" wrapText="1"/>
      <protection/>
    </xf>
    <xf numFmtId="0" fontId="24" fillId="0" borderId="48" xfId="55" applyFont="1" applyBorder="1" applyAlignment="1">
      <alignment horizontal="right" vertical="center" wrapText="1"/>
      <protection/>
    </xf>
    <xf numFmtId="0" fontId="47" fillId="0" borderId="49" xfId="55" applyFont="1" applyBorder="1" applyAlignment="1">
      <alignment horizontal="left" vertical="center" wrapText="1"/>
      <protection/>
    </xf>
    <xf numFmtId="0" fontId="47" fillId="0" borderId="48" xfId="55" applyFont="1" applyBorder="1" applyAlignment="1">
      <alignment horizontal="right" vertical="center" wrapText="1"/>
      <protection/>
    </xf>
    <xf numFmtId="0" fontId="24" fillId="0" borderId="49" xfId="55" applyFont="1" applyBorder="1" applyAlignment="1">
      <alignment horizontal="left" vertical="center" wrapText="1"/>
      <protection/>
    </xf>
    <xf numFmtId="0" fontId="47" fillId="0" borderId="47" xfId="55" applyFont="1" applyBorder="1" applyAlignment="1">
      <alignment horizontal="right" vertical="center" wrapText="1"/>
      <protection/>
    </xf>
    <xf numFmtId="0" fontId="47" fillId="0" borderId="50" xfId="55" applyFont="1" applyBorder="1" applyAlignment="1">
      <alignment horizontal="left" vertical="center" wrapText="1"/>
      <protection/>
    </xf>
    <xf numFmtId="0" fontId="47" fillId="0" borderId="51" xfId="55" applyFont="1" applyBorder="1" applyAlignment="1">
      <alignment horizontal="right" vertical="center" wrapText="1"/>
      <protection/>
    </xf>
    <xf numFmtId="0" fontId="47" fillId="0" borderId="52" xfId="55" applyFont="1" applyBorder="1" applyAlignment="1">
      <alignment horizontal="left" vertical="center" wrapText="1"/>
      <protection/>
    </xf>
    <xf numFmtId="0" fontId="47" fillId="0" borderId="50" xfId="55" applyFont="1" applyBorder="1" applyAlignment="1">
      <alignment horizontal="right" vertical="center" wrapText="1"/>
      <protection/>
    </xf>
    <xf numFmtId="0" fontId="24" fillId="0" borderId="50" xfId="55" applyFont="1" applyBorder="1" applyAlignment="1">
      <alignment horizontal="left" vertical="center" wrapText="1"/>
      <protection/>
    </xf>
    <xf numFmtId="174" fontId="24" fillId="0" borderId="51" xfId="55" applyNumberFormat="1" applyFont="1" applyBorder="1" applyAlignment="1">
      <alignment horizontal="right" vertical="center" wrapText="1"/>
      <protection/>
    </xf>
    <xf numFmtId="0" fontId="24" fillId="0" borderId="52" xfId="55" applyFont="1" applyBorder="1" applyAlignment="1">
      <alignment horizontal="left" vertical="center" wrapText="1"/>
      <protection/>
    </xf>
    <xf numFmtId="0" fontId="24" fillId="0" borderId="51" xfId="55" applyFont="1" applyBorder="1" applyAlignment="1">
      <alignment horizontal="right" vertical="center" wrapText="1"/>
      <protection/>
    </xf>
    <xf numFmtId="0" fontId="48" fillId="33" borderId="0" xfId="55" applyFont="1" applyFill="1">
      <alignment/>
      <protection/>
    </xf>
    <xf numFmtId="0" fontId="22" fillId="36" borderId="27" xfId="53" applyFont="1" applyFill="1" applyBorder="1" applyAlignment="1">
      <alignment horizontal="right" wrapText="1"/>
      <protection/>
    </xf>
    <xf numFmtId="0" fontId="22" fillId="36" borderId="29" xfId="53" applyFont="1" applyFill="1" applyBorder="1" applyAlignment="1">
      <alignment horizontal="right" wrapText="1"/>
      <protection/>
    </xf>
    <xf numFmtId="0" fontId="22" fillId="36" borderId="32" xfId="53" applyFont="1" applyFill="1" applyBorder="1" applyAlignment="1">
      <alignment horizontal="right" wrapText="1"/>
      <protection/>
    </xf>
    <xf numFmtId="0" fontId="0" fillId="39" borderId="0" xfId="0" applyNumberFormat="1" applyFill="1" applyAlignment="1">
      <alignment vertical="center"/>
    </xf>
    <xf numFmtId="0" fontId="128" fillId="39" borderId="0" xfId="0" applyNumberFormat="1" applyFont="1" applyFill="1" applyAlignment="1">
      <alignment vertical="center"/>
    </xf>
    <xf numFmtId="0" fontId="116" fillId="39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NumberFormat="1" applyFill="1" applyAlignment="1" applyProtection="1">
      <alignment/>
      <protection/>
    </xf>
    <xf numFmtId="0" fontId="129" fillId="39" borderId="0" xfId="0" applyNumberFormat="1" applyFont="1" applyFill="1" applyAlignment="1">
      <alignment vertical="center"/>
    </xf>
    <xf numFmtId="0" fontId="130" fillId="39" borderId="0" xfId="0" applyNumberFormat="1" applyFont="1" applyFill="1" applyAlignment="1">
      <alignment vertical="center"/>
    </xf>
    <xf numFmtId="0" fontId="9" fillId="39" borderId="0" xfId="0" applyNumberFormat="1" applyFont="1" applyFill="1" applyAlignment="1">
      <alignment vertical="center"/>
    </xf>
    <xf numFmtId="0" fontId="0" fillId="39" borderId="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horizontal="right" vertical="center"/>
      <protection locked="0"/>
    </xf>
    <xf numFmtId="0" fontId="0" fillId="39" borderId="11" xfId="0" applyNumberFormat="1" applyFill="1" applyBorder="1" applyAlignment="1">
      <alignment vertical="center"/>
    </xf>
    <xf numFmtId="49" fontId="0" fillId="39" borderId="11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vertical="center"/>
      <protection locked="0"/>
    </xf>
    <xf numFmtId="11" fontId="0" fillId="39" borderId="0" xfId="0" applyNumberFormat="1" applyFill="1" applyAlignment="1">
      <alignment vertical="center"/>
    </xf>
    <xf numFmtId="11" fontId="126" fillId="39" borderId="0" xfId="0" applyNumberFormat="1" applyFont="1" applyFill="1" applyAlignment="1">
      <alignment vertical="center"/>
    </xf>
    <xf numFmtId="0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 horizontal="left" vertical="center"/>
    </xf>
    <xf numFmtId="49" fontId="0" fillId="39" borderId="10" xfId="0" applyNumberFormat="1" applyFont="1" applyFill="1" applyBorder="1" applyAlignment="1" applyProtection="1">
      <alignment horizontal="right" vertical="center"/>
      <protection locked="0"/>
    </xf>
    <xf numFmtId="0" fontId="0" fillId="39" borderId="10" xfId="0" applyFill="1" applyBorder="1" applyAlignment="1">
      <alignment vertical="center"/>
    </xf>
    <xf numFmtId="0" fontId="0" fillId="39" borderId="0" xfId="0" applyNumberFormat="1" applyFont="1" applyFill="1" applyAlignment="1">
      <alignment vertical="center"/>
    </xf>
    <xf numFmtId="11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/>
    </xf>
    <xf numFmtId="175" fontId="0" fillId="39" borderId="0" xfId="0" applyNumberFormat="1" applyFill="1" applyAlignment="1">
      <alignment vertical="center"/>
    </xf>
    <xf numFmtId="0" fontId="129" fillId="39" borderId="0" xfId="0" applyNumberFormat="1" applyFont="1" applyFill="1" applyBorder="1" applyAlignment="1">
      <alignment vertical="center"/>
    </xf>
    <xf numFmtId="0" fontId="111" fillId="39" borderId="0" xfId="0" applyNumberFormat="1" applyFont="1" applyFill="1" applyBorder="1" applyAlignment="1">
      <alignment horizontal="right" vertical="center"/>
    </xf>
    <xf numFmtId="0" fontId="111" fillId="39" borderId="0" xfId="0" applyNumberFormat="1" applyFont="1" applyFill="1" applyBorder="1" applyAlignment="1">
      <alignment vertical="center"/>
    </xf>
    <xf numFmtId="0" fontId="131" fillId="39" borderId="0" xfId="0" applyNumberFormat="1" applyFont="1" applyFill="1" applyAlignment="1">
      <alignment vertical="center"/>
    </xf>
    <xf numFmtId="0" fontId="116" fillId="39" borderId="11" xfId="0" applyNumberFormat="1" applyFont="1" applyFill="1" applyBorder="1" applyAlignment="1">
      <alignment vertical="center"/>
    </xf>
    <xf numFmtId="218" fontId="52" fillId="33" borderId="0" xfId="0" applyNumberFormat="1" applyFont="1" applyFill="1" applyBorder="1" applyAlignment="1" applyProtection="1">
      <alignment horizontal="left"/>
      <protection/>
    </xf>
    <xf numFmtId="219" fontId="52" fillId="33" borderId="0" xfId="0" applyNumberFormat="1" applyFont="1" applyFill="1" applyBorder="1" applyAlignment="1" applyProtection="1">
      <alignment horizontal="left"/>
      <protection/>
    </xf>
    <xf numFmtId="175" fontId="0" fillId="33" borderId="34" xfId="0" applyNumberFormat="1" applyFill="1" applyBorder="1" applyAlignment="1" applyProtection="1">
      <alignment horizontal="right"/>
      <protection locked="0"/>
    </xf>
    <xf numFmtId="186" fontId="0" fillId="33" borderId="34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2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132" fillId="39" borderId="10" xfId="0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 horizontal="right"/>
      <protection/>
    </xf>
    <xf numFmtId="0" fontId="0" fillId="39" borderId="35" xfId="0" applyFill="1" applyBorder="1" applyAlignment="1" applyProtection="1">
      <alignment/>
      <protection/>
    </xf>
    <xf numFmtId="0" fontId="0" fillId="39" borderId="34" xfId="0" applyNumberFormat="1" applyFill="1" applyBorder="1" applyAlignment="1">
      <alignment horizontal="right" vertical="center"/>
    </xf>
    <xf numFmtId="49" fontId="0" fillId="39" borderId="0" xfId="0" applyNumberFormat="1" applyFont="1" applyFill="1" applyAlignment="1">
      <alignment horizontal="left" vertical="center"/>
    </xf>
    <xf numFmtId="0" fontId="111" fillId="39" borderId="0" xfId="0" applyNumberFormat="1" applyFont="1" applyFill="1" applyAlignment="1">
      <alignment vertical="center"/>
    </xf>
    <xf numFmtId="0" fontId="1" fillId="33" borderId="0" xfId="54" applyFont="1" applyFill="1">
      <alignment/>
      <protection/>
    </xf>
    <xf numFmtId="0" fontId="40" fillId="33" borderId="0" xfId="54" applyFont="1" applyFill="1">
      <alignment/>
      <protection/>
    </xf>
    <xf numFmtId="11" fontId="0" fillId="39" borderId="12" xfId="0" applyNumberFormat="1" applyFill="1" applyBorder="1" applyAlignment="1">
      <alignment vertical="center"/>
    </xf>
    <xf numFmtId="0" fontId="0" fillId="39" borderId="38" xfId="0" applyNumberFormat="1" applyFill="1" applyBorder="1" applyAlignment="1">
      <alignment horizontal="right" vertical="center"/>
    </xf>
    <xf numFmtId="11" fontId="0" fillId="39" borderId="0" xfId="0" applyNumberFormat="1" applyFill="1" applyBorder="1" applyAlignment="1">
      <alignment vertical="center"/>
    </xf>
    <xf numFmtId="0" fontId="0" fillId="39" borderId="33" xfId="0" applyNumberFormat="1" applyFill="1" applyBorder="1" applyAlignment="1">
      <alignment/>
    </xf>
    <xf numFmtId="0" fontId="0" fillId="39" borderId="33" xfId="0" applyNumberFormat="1" applyFill="1" applyBorder="1" applyAlignment="1">
      <alignment vertical="center"/>
    </xf>
    <xf numFmtId="0" fontId="0" fillId="39" borderId="38" xfId="0" applyNumberFormat="1" applyFont="1" applyFill="1" applyBorder="1" applyAlignment="1">
      <alignment horizontal="right" vertical="center"/>
    </xf>
    <xf numFmtId="11" fontId="0" fillId="39" borderId="0" xfId="0" applyNumberFormat="1" applyFill="1" applyBorder="1" applyAlignment="1" applyProtection="1">
      <alignment/>
      <protection/>
    </xf>
    <xf numFmtId="0" fontId="0" fillId="39" borderId="33" xfId="0" applyNumberFormat="1" applyFill="1" applyBorder="1" applyAlignment="1" applyProtection="1">
      <alignment/>
      <protection/>
    </xf>
    <xf numFmtId="0" fontId="0" fillId="39" borderId="33" xfId="0" applyNumberFormat="1" applyFont="1" applyFill="1" applyBorder="1" applyAlignment="1" applyProtection="1">
      <alignment/>
      <protection/>
    </xf>
    <xf numFmtId="0" fontId="0" fillId="39" borderId="39" xfId="0" applyNumberFormat="1" applyFill="1" applyBorder="1" applyAlignment="1">
      <alignment horizontal="right" vertical="center"/>
    </xf>
    <xf numFmtId="0" fontId="0" fillId="39" borderId="40" xfId="0" applyNumberFormat="1" applyFont="1" applyFill="1" applyBorder="1" applyAlignment="1" applyProtection="1">
      <alignment/>
      <protection/>
    </xf>
    <xf numFmtId="0" fontId="0" fillId="39" borderId="36" xfId="0" applyNumberFormat="1" applyFill="1" applyBorder="1" applyAlignment="1">
      <alignment horizontal="right" vertical="center"/>
    </xf>
    <xf numFmtId="0" fontId="0" fillId="39" borderId="37" xfId="0" applyNumberFormat="1" applyFill="1" applyBorder="1" applyAlignment="1">
      <alignment/>
    </xf>
    <xf numFmtId="11" fontId="0" fillId="39" borderId="11" xfId="0" applyNumberFormat="1" applyFill="1" applyBorder="1" applyAlignment="1">
      <alignment vertical="center"/>
    </xf>
    <xf numFmtId="0" fontId="6" fillId="39" borderId="11" xfId="0" applyNumberFormat="1" applyFont="1" applyFill="1" applyBorder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133" fillId="33" borderId="0" xfId="0" applyNumberFormat="1" applyFont="1" applyFill="1" applyAlignment="1" applyProtection="1">
      <alignment/>
      <protection/>
    </xf>
    <xf numFmtId="0" fontId="133" fillId="33" borderId="11" xfId="0" applyNumberFormat="1" applyFont="1" applyFill="1" applyBorder="1" applyAlignment="1" applyProtection="1">
      <alignment horizontal="center"/>
      <protection/>
    </xf>
    <xf numFmtId="0" fontId="133" fillId="33" borderId="40" xfId="0" applyNumberFormat="1" applyFont="1" applyFill="1" applyBorder="1" applyAlignment="1" applyProtection="1">
      <alignment horizontal="center"/>
      <protection/>
    </xf>
    <xf numFmtId="0" fontId="133" fillId="33" borderId="36" xfId="0" applyNumberFormat="1" applyFont="1" applyFill="1" applyBorder="1" applyAlignment="1" applyProtection="1">
      <alignment horizontal="right"/>
      <protection/>
    </xf>
    <xf numFmtId="0" fontId="133" fillId="33" borderId="12" xfId="0" applyNumberFormat="1" applyFont="1" applyFill="1" applyBorder="1" applyAlignment="1" applyProtection="1">
      <alignment horizontal="right"/>
      <protection/>
    </xf>
    <xf numFmtId="0" fontId="133" fillId="33" borderId="37" xfId="0" applyNumberFormat="1" applyFont="1" applyFill="1" applyBorder="1" applyAlignment="1" applyProtection="1">
      <alignment horizontal="right"/>
      <protection/>
    </xf>
    <xf numFmtId="0" fontId="133" fillId="33" borderId="38" xfId="0" applyNumberFormat="1" applyFont="1" applyFill="1" applyBorder="1" applyAlignment="1" applyProtection="1">
      <alignment horizontal="right"/>
      <protection/>
    </xf>
    <xf numFmtId="0" fontId="133" fillId="33" borderId="0" xfId="0" applyNumberFormat="1" applyFont="1" applyFill="1" applyBorder="1" applyAlignment="1" applyProtection="1">
      <alignment horizontal="right"/>
      <protection/>
    </xf>
    <xf numFmtId="0" fontId="133" fillId="33" borderId="33" xfId="0" applyNumberFormat="1" applyFont="1" applyFill="1" applyBorder="1" applyAlignment="1" applyProtection="1">
      <alignment horizontal="right"/>
      <protection/>
    </xf>
    <xf numFmtId="0" fontId="133" fillId="33" borderId="39" xfId="0" applyNumberFormat="1" applyFont="1" applyFill="1" applyBorder="1" applyAlignment="1" applyProtection="1">
      <alignment horizontal="right"/>
      <protection/>
    </xf>
    <xf numFmtId="0" fontId="73" fillId="39" borderId="0" xfId="0" applyFont="1" applyFill="1" applyAlignment="1" applyProtection="1">
      <alignment/>
      <protection/>
    </xf>
    <xf numFmtId="0" fontId="134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Border="1" applyAlignment="1" applyProtection="1">
      <alignment vertical="center"/>
      <protection/>
    </xf>
    <xf numFmtId="0" fontId="134" fillId="39" borderId="0" xfId="0" applyFont="1" applyFill="1" applyAlignment="1" applyProtection="1">
      <alignment/>
      <protection/>
    </xf>
    <xf numFmtId="0" fontId="135" fillId="39" borderId="0" xfId="0" applyFont="1" applyFill="1" applyAlignment="1" applyProtection="1">
      <alignment/>
      <protection/>
    </xf>
    <xf numFmtId="0" fontId="135" fillId="39" borderId="0" xfId="0" applyNumberFormat="1" applyFont="1" applyFill="1" applyBorder="1" applyAlignment="1" applyProtection="1">
      <alignment horizontal="right" vertical="center"/>
      <protection/>
    </xf>
    <xf numFmtId="11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 horizontal="right" vertical="center"/>
      <protection/>
    </xf>
    <xf numFmtId="219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 vertical="center"/>
      <protection/>
    </xf>
    <xf numFmtId="0" fontId="136" fillId="39" borderId="0" xfId="0" applyNumberFormat="1" applyFont="1" applyFill="1" applyBorder="1" applyAlignment="1" applyProtection="1">
      <alignment vertical="center"/>
      <protection/>
    </xf>
    <xf numFmtId="11" fontId="135" fillId="39" borderId="0" xfId="0" applyNumberFormat="1" applyFont="1" applyFill="1" applyAlignment="1" applyProtection="1">
      <alignment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/>
      <protection/>
    </xf>
    <xf numFmtId="219" fontId="135" fillId="39" borderId="0" xfId="0" applyNumberFormat="1" applyFont="1" applyFill="1" applyAlignment="1" applyProtection="1">
      <alignment/>
      <protection/>
    </xf>
    <xf numFmtId="0" fontId="135" fillId="39" borderId="0" xfId="0" applyFont="1" applyFill="1" applyAlignment="1" applyProtection="1">
      <alignment horizontal="right"/>
      <protection/>
    </xf>
    <xf numFmtId="0" fontId="135" fillId="39" borderId="33" xfId="0" applyFont="1" applyFill="1" applyBorder="1" applyAlignment="1" applyProtection="1">
      <alignment/>
      <protection/>
    </xf>
    <xf numFmtId="219" fontId="0" fillId="39" borderId="0" xfId="0" applyNumberFormat="1" applyFill="1" applyBorder="1" applyAlignment="1" applyProtection="1">
      <alignment/>
      <protection/>
    </xf>
    <xf numFmtId="219" fontId="0" fillId="39" borderId="11" xfId="0" applyNumberFormat="1" applyFill="1" applyBorder="1" applyAlignment="1" applyProtection="1">
      <alignment/>
      <protection/>
    </xf>
    <xf numFmtId="0" fontId="111" fillId="33" borderId="0" xfId="54" applyFill="1" applyAlignment="1">
      <alignment/>
      <protection/>
    </xf>
    <xf numFmtId="0" fontId="79" fillId="35" borderId="25" xfId="53" applyFont="1" applyFill="1" applyBorder="1" applyAlignment="1">
      <alignment wrapText="1"/>
      <protection/>
    </xf>
    <xf numFmtId="11" fontId="0" fillId="33" borderId="0" xfId="0" applyNumberFormat="1" applyFill="1" applyAlignment="1" applyProtection="1">
      <alignment/>
      <protection/>
    </xf>
    <xf numFmtId="0" fontId="80" fillId="39" borderId="53" xfId="0" applyNumberFormat="1" applyFont="1" applyFill="1" applyBorder="1" applyAlignment="1">
      <alignment vertical="center"/>
    </xf>
    <xf numFmtId="0" fontId="0" fillId="33" borderId="12" xfId="0" applyNumberFormat="1" applyFill="1" applyBorder="1" applyAlignment="1" applyProtection="1">
      <alignment/>
      <protection/>
    </xf>
    <xf numFmtId="219" fontId="0" fillId="39" borderId="0" xfId="0" applyNumberFormat="1" applyFont="1" applyFill="1" applyAlignment="1">
      <alignment vertical="center"/>
    </xf>
    <xf numFmtId="219" fontId="0" fillId="33" borderId="0" xfId="0" applyNumberForma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left"/>
      <protection hidden="1"/>
    </xf>
    <xf numFmtId="0" fontId="57" fillId="33" borderId="0" xfId="0" applyFont="1" applyFill="1" applyAlignment="1" applyProtection="1">
      <alignment horizontal="left"/>
      <protection hidden="1"/>
    </xf>
    <xf numFmtId="14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34" xfId="0" applyNumberFormat="1" applyFont="1" applyFill="1" applyBorder="1" applyAlignment="1" applyProtection="1">
      <alignment horizontal="right"/>
      <protection locked="0"/>
    </xf>
    <xf numFmtId="49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54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49" fontId="0" fillId="33" borderId="55" xfId="0" applyNumberFormat="1" applyFont="1" applyFill="1" applyBorder="1" applyAlignment="1" applyProtection="1">
      <alignment horizontal="left"/>
      <protection locked="0"/>
    </xf>
    <xf numFmtId="49" fontId="0" fillId="33" borderId="56" xfId="0" applyNumberFormat="1" applyFont="1" applyFill="1" applyBorder="1" applyAlignment="1" applyProtection="1">
      <alignment horizontal="left"/>
      <protection locked="0"/>
    </xf>
    <xf numFmtId="49" fontId="0" fillId="33" borderId="57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49" fontId="0" fillId="33" borderId="58" xfId="0" applyNumberFormat="1" applyFont="1" applyFill="1" applyBorder="1" applyAlignment="1" applyProtection="1">
      <alignment horizontal="left"/>
      <protection locked="0"/>
    </xf>
    <xf numFmtId="49" fontId="0" fillId="33" borderId="59" xfId="0" applyNumberFormat="1" applyFont="1" applyFill="1" applyBorder="1" applyAlignment="1" applyProtection="1">
      <alignment horizontal="left"/>
      <protection locked="0"/>
    </xf>
    <xf numFmtId="49" fontId="0" fillId="33" borderId="60" xfId="0" applyNumberFormat="1" applyFont="1" applyFill="1" applyBorder="1" applyAlignment="1" applyProtection="1">
      <alignment horizontal="left"/>
      <protection locked="0"/>
    </xf>
    <xf numFmtId="49" fontId="0" fillId="33" borderId="61" xfId="0" applyNumberFormat="1" applyFont="1" applyFill="1" applyBorder="1" applyAlignment="1" applyProtection="1">
      <alignment horizontal="left"/>
      <protection locked="0"/>
    </xf>
    <xf numFmtId="182" fontId="50" fillId="33" borderId="0" xfId="0" applyNumberFormat="1" applyFont="1" applyFill="1" applyBorder="1" applyAlignment="1" applyProtection="1">
      <alignment horizontal="left" wrapText="1"/>
      <protection/>
    </xf>
    <xf numFmtId="0" fontId="32" fillId="33" borderId="0" xfId="0" applyNumberFormat="1" applyFont="1" applyFill="1" applyBorder="1" applyAlignment="1" applyProtection="1">
      <alignment horizontal="left" vertical="top" wrapText="1"/>
      <protection/>
    </xf>
    <xf numFmtId="0" fontId="32" fillId="33" borderId="0" xfId="0" applyNumberFormat="1" applyFont="1" applyFill="1" applyAlignment="1" applyProtection="1">
      <alignment horizontal="left" vertical="center" wrapText="1"/>
      <protection/>
    </xf>
    <xf numFmtId="0" fontId="0" fillId="39" borderId="62" xfId="0" applyNumberFormat="1" applyFont="1" applyFill="1" applyBorder="1" applyAlignment="1">
      <alignment vertical="center"/>
    </xf>
    <xf numFmtId="0" fontId="0" fillId="39" borderId="63" xfId="0" applyNumberFormat="1" applyFill="1" applyBorder="1" applyAlignment="1">
      <alignment vertical="center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34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58" fillId="33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 applyProtection="1">
      <alignment horizontal="left"/>
      <protection/>
    </xf>
    <xf numFmtId="14" fontId="0" fillId="33" borderId="40" xfId="0" applyNumberFormat="1" applyFont="1" applyFill="1" applyBorder="1" applyAlignment="1" applyProtection="1">
      <alignment horizontal="left"/>
      <protection/>
    </xf>
    <xf numFmtId="0" fontId="57" fillId="33" borderId="36" xfId="0" applyFont="1" applyFill="1" applyBorder="1" applyAlignment="1" applyProtection="1">
      <alignment horizontal="center" vertical="top"/>
      <protection/>
    </xf>
    <xf numFmtId="0" fontId="57" fillId="33" borderId="37" xfId="0" applyFont="1" applyFill="1" applyBorder="1" applyAlignment="1" applyProtection="1">
      <alignment horizontal="center" vertical="top"/>
      <protection/>
    </xf>
    <xf numFmtId="0" fontId="57" fillId="33" borderId="38" xfId="0" applyFont="1" applyFill="1" applyBorder="1" applyAlignment="1" applyProtection="1">
      <alignment horizontal="center" vertical="top"/>
      <protection/>
    </xf>
    <xf numFmtId="0" fontId="57" fillId="33" borderId="33" xfId="0" applyFont="1" applyFill="1" applyBorder="1" applyAlignment="1" applyProtection="1">
      <alignment horizontal="center" vertical="top"/>
      <protection/>
    </xf>
    <xf numFmtId="0" fontId="77" fillId="35" borderId="64" xfId="53" applyFont="1" applyFill="1" applyBorder="1" applyAlignment="1">
      <alignment horizontal="center" vertical="center" wrapText="1"/>
      <protection/>
    </xf>
    <xf numFmtId="0" fontId="77" fillId="35" borderId="65" xfId="53" applyFont="1" applyFill="1" applyBorder="1" applyAlignment="1">
      <alignment horizontal="center" vertical="center" wrapText="1"/>
      <protection/>
    </xf>
    <xf numFmtId="0" fontId="77" fillId="35" borderId="66" xfId="53" applyFont="1" applyFill="1" applyBorder="1" applyAlignment="1">
      <alignment horizontal="center" vertical="center" wrapText="1"/>
      <protection/>
    </xf>
    <xf numFmtId="0" fontId="77" fillId="35" borderId="67" xfId="53" applyFont="1" applyFill="1" applyBorder="1" applyAlignment="1">
      <alignment horizontal="center" vertical="center" wrapText="1"/>
      <protection/>
    </xf>
    <xf numFmtId="0" fontId="77" fillId="35" borderId="27" xfId="53" applyFont="1" applyFill="1" applyBorder="1" applyAlignment="1">
      <alignment horizontal="center" vertical="center" wrapText="1"/>
      <protection/>
    </xf>
    <xf numFmtId="0" fontId="77" fillId="35" borderId="29" xfId="53" applyFont="1" applyFill="1" applyBorder="1" applyAlignment="1">
      <alignment horizontal="center" vertical="center" wrapText="1"/>
      <protection/>
    </xf>
    <xf numFmtId="0" fontId="19" fillId="33" borderId="0" xfId="53" applyFont="1" applyFill="1" applyAlignment="1">
      <alignment vertical="top" wrapText="1"/>
      <protection/>
    </xf>
    <xf numFmtId="0" fontId="13" fillId="33" borderId="0" xfId="53" applyFont="1" applyFill="1" applyAlignment="1">
      <alignment wrapText="1"/>
      <protection/>
    </xf>
    <xf numFmtId="0" fontId="0" fillId="0" borderId="0" xfId="53">
      <alignment/>
      <protection/>
    </xf>
    <xf numFmtId="0" fontId="15" fillId="33" borderId="0" xfId="53" applyFont="1" applyFill="1" applyAlignment="1">
      <alignment vertical="top" wrapText="1"/>
      <protection/>
    </xf>
    <xf numFmtId="0" fontId="0" fillId="33" borderId="0" xfId="53" applyFill="1" applyAlignment="1">
      <alignment vertical="top" wrapText="1"/>
      <protection/>
    </xf>
    <xf numFmtId="0" fontId="16" fillId="33" borderId="0" xfId="53" applyFont="1" applyFill="1" applyAlignment="1">
      <alignment vertical="top" wrapText="1"/>
      <protection/>
    </xf>
    <xf numFmtId="0" fontId="15" fillId="33" borderId="0" xfId="53" applyFont="1" applyFill="1" applyAlignment="1">
      <alignment horizontal="left" vertical="top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_LA-Tool_Waagenprüfung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1"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 patternType="none">
          <bgColor indexed="65"/>
        </patternFill>
      </fill>
    </dxf>
    <dxf>
      <font>
        <name val="Cambria"/>
        <color rgb="FFFF0000"/>
      </font>
      <fill>
        <patternFill patternType="solid">
          <fgColor indexed="65"/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indexed="65"/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 patternType="solid">
          <fgColor indexed="65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695"/>
          <c:w val="0.963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'Waagenkalibrierung_DKD-R_7-1'!$C$100:$C$214</c:f>
              <c:numCache/>
            </c:numRef>
          </c:xVal>
          <c:yVal>
            <c:numRef>
              <c:f>'Waagenkalibrierung_DKD-R_7-1'!$D$100:$D$214</c:f>
              <c:numCache/>
            </c:numRef>
          </c:yVal>
          <c:smooth val="0"/>
        </c:ser>
        <c:axId val="17042742"/>
        <c:axId val="19166951"/>
      </c:scatterChart>
      <c:valAx>
        <c:axId val="170427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Prüflast L  [g]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66951"/>
        <c:crosses val="max"/>
        <c:crossBetween val="midCat"/>
        <c:dispUnits/>
      </c:valAx>
      <c:valAx>
        <c:axId val="19166951"/>
        <c:scaling>
          <c:logBase val="10"/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rel.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±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42742"/>
        <c:crosses val="max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kern-sohn.com/images/e1.gif" TargetMode="External" /><Relationship Id="rId2" Type="http://schemas.openxmlformats.org/officeDocument/2006/relationships/hyperlink" Target="http://www.kern-sohn.com/os?0000002e000000160019d86d0000022f0899ea45&amp;klasse=E1" TargetMode="External" /><Relationship Id="rId3" Type="http://schemas.openxmlformats.org/officeDocument/2006/relationships/hyperlink" Target="http://www.kern-sohn.com/os?0000002e000000160019d86d0000022f0899ea45&amp;klasse=E1" TargetMode="External" /><Relationship Id="rId4" Type="http://schemas.openxmlformats.org/officeDocument/2006/relationships/image" Target="http://www.kern-sohn.com/images/e2.gif" TargetMode="External" /><Relationship Id="rId5" Type="http://schemas.openxmlformats.org/officeDocument/2006/relationships/hyperlink" Target="http://www.kern-sohn.com/os?0000002e000000160019d86d00000230509052c3&amp;klasse=E2" TargetMode="External" /><Relationship Id="rId6" Type="http://schemas.openxmlformats.org/officeDocument/2006/relationships/hyperlink" Target="http://www.kern-sohn.com/os?0000002e000000160019d86d00000230509052c3&amp;klasse=E2" TargetMode="External" /><Relationship Id="rId7" Type="http://schemas.openxmlformats.org/officeDocument/2006/relationships/image" Target="http://www.kern-sohn.com/images/f1.gif" TargetMode="External" /><Relationship Id="rId8" Type="http://schemas.openxmlformats.org/officeDocument/2006/relationships/hyperlink" Target="http://www.kern-sohn.com/os?0000002e000000160019d86d000002315ae3e81a&amp;klasse=F1" TargetMode="External" /><Relationship Id="rId9" Type="http://schemas.openxmlformats.org/officeDocument/2006/relationships/hyperlink" Target="http://www.kern-sohn.com/os?0000002e000000160019d86d000002315ae3e81a&amp;klasse=F1" TargetMode="External" /><Relationship Id="rId10" Type="http://schemas.openxmlformats.org/officeDocument/2006/relationships/image" Target="http://www.kern-sohn.com/images/f2.gif" TargetMode="External" /><Relationship Id="rId11" Type="http://schemas.openxmlformats.org/officeDocument/2006/relationships/hyperlink" Target="http://www.kern-sohn.com/os?0000002e000000160019d86d000002325c8c352f&amp;klasse=F2" TargetMode="External" /><Relationship Id="rId12" Type="http://schemas.openxmlformats.org/officeDocument/2006/relationships/hyperlink" Target="http://www.kern-sohn.com/os?0000002e000000160019d86d000002325c8c352f&amp;klasse=F2" TargetMode="External" /><Relationship Id="rId13" Type="http://schemas.openxmlformats.org/officeDocument/2006/relationships/image" Target="http://www.kern-sohn.com/images/m1.gif" TargetMode="External" /><Relationship Id="rId14" Type="http://schemas.openxmlformats.org/officeDocument/2006/relationships/hyperlink" Target="http://www.kern-sohn.com/os?0000002e000000160019d86d0000023335734534&amp;klasse=M1" TargetMode="External" /><Relationship Id="rId15" Type="http://schemas.openxmlformats.org/officeDocument/2006/relationships/hyperlink" Target="http://www.kern-sohn.com/os?0000002e000000160019d86d0000023335734534&amp;klasse=M1" TargetMode="External" /><Relationship Id="rId16" Type="http://schemas.openxmlformats.org/officeDocument/2006/relationships/image" Target="http://www.kern-sohn.com/images/m2.gif" TargetMode="External" /><Relationship Id="rId17" Type="http://schemas.openxmlformats.org/officeDocument/2006/relationships/hyperlink" Target="http://www.kern-sohn.com/os?0000002e000000160019d86d0000023409fc8e0c&amp;klasse=M2" TargetMode="External" /><Relationship Id="rId18" Type="http://schemas.openxmlformats.org/officeDocument/2006/relationships/hyperlink" Target="http://www.kern-sohn.com/os?0000002e000000160019d86d0000023409fc8e0c&amp;klasse=M2" TargetMode="External" /><Relationship Id="rId19" Type="http://schemas.openxmlformats.org/officeDocument/2006/relationships/image" Target="http://www.kern-sohn.com/images/m3.gif" TargetMode="External" /><Relationship Id="rId20" Type="http://schemas.openxmlformats.org/officeDocument/2006/relationships/hyperlink" Target="http://www.kern-sohn.com/os?0000002e000000160019d86d00000235665f5f60&amp;klasse=M3" TargetMode="External" /><Relationship Id="rId21" Type="http://schemas.openxmlformats.org/officeDocument/2006/relationships/hyperlink" Target="http://www.kern-sohn.com/os?0000002e000000160019d86d00000235665f5f60&amp;klasse=M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1" name="Diagramm 1"/>
        <xdr:cNvGraphicFramePr/>
      </xdr:nvGraphicFramePr>
      <xdr:xfrm>
        <a:off x="0" y="9896475"/>
        <a:ext cx="7896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10</xdr:col>
      <xdr:colOff>0</xdr:colOff>
      <xdr:row>216</xdr:row>
      <xdr:rowOff>152400</xdr:rowOff>
    </xdr:to>
    <xdr:sp>
      <xdr:nvSpPr>
        <xdr:cNvPr id="2" name="Rechteck 3"/>
        <xdr:cNvSpPr>
          <a:spLocks/>
        </xdr:cNvSpPr>
      </xdr:nvSpPr>
      <xdr:spPr>
        <a:xfrm>
          <a:off x="0" y="13125450"/>
          <a:ext cx="7896225" cy="20888325"/>
        </a:xfrm>
        <a:prstGeom prst="rect">
          <a:avLst/>
        </a:prstGeom>
        <a:solidFill>
          <a:srgbClr val="FFFFFF"/>
        </a:solidFill>
        <a:ln w="31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42</xdr:row>
      <xdr:rowOff>47625</xdr:rowOff>
    </xdr:from>
    <xdr:to>
      <xdr:col>5</xdr:col>
      <xdr:colOff>85725</xdr:colOff>
      <xdr:row>58</xdr:row>
      <xdr:rowOff>9525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286625"/>
          <a:ext cx="1876425" cy="1295400"/>
        </a:xfrm>
        <a:prstGeom prst="rect">
          <a:avLst/>
        </a:prstGeom>
        <a:noFill/>
        <a:ln w="9525" cmpd="sng">
          <a:solidFill>
            <a:srgbClr val="558ED5"/>
          </a:solidFill>
          <a:headEnd type="none"/>
          <a:tailEnd type="none"/>
        </a:ln>
      </xdr:spPr>
    </xdr:pic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542925</xdr:colOff>
      <xdr:row>11</xdr:row>
      <xdr:rowOff>0</xdr:rowOff>
    </xdr:to>
    <xdr:sp>
      <xdr:nvSpPr>
        <xdr:cNvPr id="4" name="Geschweifte Klammer rechts 4"/>
        <xdr:cNvSpPr>
          <a:spLocks/>
        </xdr:cNvSpPr>
      </xdr:nvSpPr>
      <xdr:spPr>
        <a:xfrm>
          <a:off x="8763000" y="1438275"/>
          <a:ext cx="485775" cy="600075"/>
        </a:xfrm>
        <a:prstGeom prst="rightBrace">
          <a:avLst/>
        </a:prstGeom>
        <a:noFill/>
        <a:ln w="9525" cmpd="sng">
          <a:solidFill>
            <a:srgbClr val="C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7</xdr:col>
      <xdr:colOff>800100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24400" y="0"/>
          <a:ext cx="4762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1" name="Picture 1" descr="E1-Gewichtesho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2" name="Picture 2" descr="E2-Gewichteshop">
          <a:hlinkClick r:id="rId6"/>
        </xdr:cNvPr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3" name="Picture 3" descr="F1-Gewichteshop">
          <a:hlinkClick r:id="rId9"/>
        </xdr:cNvPr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4" name="Picture 4" descr="F2-Gewichteshop">
          <a:hlinkClick r:id="rId12"/>
        </xdr:cNvPr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5" name="Picture 5" descr="M1-Gewichteshop">
          <a:hlinkClick r:id="rId15"/>
        </xdr:cNvPr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6" name="Picture 6" descr="M2-Gewichteshop">
          <a:hlinkClick r:id="rId18"/>
        </xdr:cNvPr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7" name="Picture 7" descr="M3-Gewichteshop">
          <a:hlinkClick r:id="rId21"/>
        </xdr:cNvPr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Archiv\VEH_bis_12-2010\Listen\L-39%20_%20Toleranzanforderungen%20-%20PM&#220;-Analysenwa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_Erz_HH\_Daten\18_Akkreditierung_Chemie\Rechenbl&#228;tter\Mandel-Test_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csunas01.prod.ads.vpc-group.biz\Homeshares$\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VEH_bis_12-2010\Rechenbl&#228;tter\Mandel-Test_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blatt (backup)"/>
      <sheetName val="SammlungDKD-Kalibrierfunktion"/>
      <sheetName val="DKD-Kalibrierfunktionen (2007)"/>
      <sheetName val="SammlungDKD-Kalibrierfunktionen"/>
      <sheetName val="Fehlergrenzklassen-Massestücke"/>
      <sheetName val="Basisblatt"/>
      <sheetName val="WT-Waage 01"/>
      <sheetName val="WT-Waage 02"/>
      <sheetName val="WT-Waage 03"/>
      <sheetName val="WT-Waage 04"/>
      <sheetName val="WT-Waage 05"/>
      <sheetName val="WT-Restfeuchte 01"/>
      <sheetName val="WT-Restfeuchte 02"/>
      <sheetName val="WW-Waage 01"/>
      <sheetName val="WW-Waage 02"/>
      <sheetName val="WW-Waage 03"/>
      <sheetName val="WW-Waage 04"/>
      <sheetName val="WW-Waage 05"/>
      <sheetName val="WW-Waage 06"/>
      <sheetName val="WW-Waage 07"/>
      <sheetName val="WW-Waage 08"/>
      <sheetName val="WW-Waage GC1"/>
      <sheetName val="WW-Waage GC2"/>
      <sheetName val="WW-Waage 50"/>
      <sheetName val="WW-Waage 51"/>
      <sheetName val="WW-Waage 52"/>
      <sheetName val="WW-Waage 53"/>
      <sheetName val="WW-Waage 54"/>
      <sheetName val="WW-Waage 55"/>
      <sheetName val="WW-Waage 56"/>
      <sheetName val="WW-Waage 57"/>
      <sheetName val="WW-Feuchte 01"/>
      <sheetName val="WW-Feuchte 02"/>
      <sheetName val="WW-Feuchte 03"/>
      <sheetName val="WW-Feuchte 04"/>
      <sheetName val="Rechenbl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02" customWidth="1"/>
  </cols>
  <sheetData>
    <row r="1" spans="1:13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8">
      <c r="A11" s="101"/>
      <c r="B11" s="103" t="s">
        <v>251</v>
      </c>
      <c r="C11" s="101"/>
      <c r="D11" s="104" t="s">
        <v>252</v>
      </c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8">
      <c r="A13" s="101"/>
      <c r="B13" s="294" t="s">
        <v>383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ht="14.25">
      <c r="A14" s="101"/>
      <c r="B14" s="295" t="s">
        <v>434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.75">
      <c r="A16" s="101"/>
      <c r="B16" s="105"/>
      <c r="C16" s="101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2.75">
      <c r="A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</sheetData>
  <sheetProtection sheet="1" objects="1" scenarios="1"/>
  <mergeCells count="2">
    <mergeCell ref="B13:M13"/>
    <mergeCell ref="B14:M1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20"/>
  <sheetViews>
    <sheetView zoomScalePageLayoutView="0" workbookViewId="0" topLeftCell="A1">
      <selection activeCell="B1" sqref="B1"/>
    </sheetView>
  </sheetViews>
  <sheetFormatPr defaultColWidth="11.421875" defaultRowHeight="18" customHeight="1"/>
  <cols>
    <col min="1" max="1" width="84.00390625" style="95" customWidth="1"/>
    <col min="2" max="16384" width="11.421875" style="95" customWidth="1"/>
  </cols>
  <sheetData>
    <row r="1" ht="18" customHeight="1">
      <c r="A1" s="94" t="s">
        <v>233</v>
      </c>
    </row>
    <row r="2" ht="18" customHeight="1">
      <c r="A2" s="95" t="s">
        <v>234</v>
      </c>
    </row>
    <row r="3" ht="18" customHeight="1">
      <c r="A3" s="95" t="s">
        <v>235</v>
      </c>
    </row>
    <row r="4" ht="18" customHeight="1">
      <c r="A4" s="95" t="s">
        <v>236</v>
      </c>
    </row>
    <row r="5" ht="18" customHeight="1">
      <c r="A5" s="95" t="s">
        <v>237</v>
      </c>
    </row>
    <row r="6" ht="18" customHeight="1">
      <c r="A6" s="95" t="s">
        <v>238</v>
      </c>
    </row>
    <row r="7" ht="18" customHeight="1">
      <c r="A7" s="95" t="s">
        <v>239</v>
      </c>
    </row>
    <row r="8" ht="22.5" customHeight="1">
      <c r="A8" s="94" t="s">
        <v>240</v>
      </c>
    </row>
    <row r="9" ht="18" customHeight="1">
      <c r="A9" s="95" t="s">
        <v>241</v>
      </c>
    </row>
    <row r="10" ht="18" customHeight="1">
      <c r="A10" s="95" t="s">
        <v>242</v>
      </c>
    </row>
    <row r="11" ht="18" customHeight="1">
      <c r="A11" s="95" t="s">
        <v>243</v>
      </c>
    </row>
    <row r="12" ht="18" customHeight="1">
      <c r="A12" s="95" t="s">
        <v>244</v>
      </c>
    </row>
    <row r="13" ht="18" customHeight="1">
      <c r="A13" s="95" t="s">
        <v>245</v>
      </c>
    </row>
    <row r="14" ht="22.5" customHeight="1">
      <c r="A14" s="94" t="s">
        <v>246</v>
      </c>
    </row>
    <row r="15" ht="15" customHeight="1">
      <c r="A15" s="234" t="s">
        <v>398</v>
      </c>
    </row>
    <row r="16" ht="13.5" customHeight="1">
      <c r="A16" s="96" t="s">
        <v>400</v>
      </c>
    </row>
    <row r="17" ht="18" customHeight="1">
      <c r="A17" s="286" t="s">
        <v>399</v>
      </c>
    </row>
    <row r="18" ht="13.5" customHeight="1">
      <c r="A18" s="96" t="s">
        <v>401</v>
      </c>
    </row>
    <row r="19" ht="15">
      <c r="A19" s="235"/>
    </row>
    <row r="20" ht="15">
      <c r="A20" s="94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tabColor theme="8" tint="0.39998000860214233"/>
  </sheetPr>
  <dimension ref="A1:AG217"/>
  <sheetViews>
    <sheetView workbookViewId="0" topLeftCell="A1">
      <selection activeCell="B6" sqref="B6:C6"/>
    </sheetView>
  </sheetViews>
  <sheetFormatPr defaultColWidth="12.7109375" defaultRowHeight="12.75" outlineLevelRow="1"/>
  <cols>
    <col min="1" max="1" width="18.57421875" style="3" customWidth="1"/>
    <col min="2" max="4" width="10.7109375" style="3" customWidth="1"/>
    <col min="5" max="10" width="11.28125" style="3" customWidth="1"/>
    <col min="11" max="12" width="0.71875" style="3" customWidth="1"/>
    <col min="13" max="13" width="10.7109375" style="3" customWidth="1"/>
    <col min="14" max="14" width="8.7109375" style="3" customWidth="1"/>
    <col min="15" max="15" width="11.7109375" style="3" customWidth="1"/>
    <col min="16" max="16" width="12.7109375" style="3" customWidth="1"/>
    <col min="17" max="18" width="12.7109375" style="6" customWidth="1"/>
    <col min="19" max="16384" width="12.7109375" style="3" customWidth="1"/>
  </cols>
  <sheetData>
    <row r="1" spans="1:14" ht="15.75" customHeight="1">
      <c r="A1" s="217" t="str">
        <f>IF(OR(ISBLANK(C12),ISBLANK(C13)),"Kalibrierblatt gemäß DKD-R 7-1",IF((C12*1000/C13)&gt;1000000,"Kalibrierblatt gemäß DKD-R 7-1, Blatt 3","Kalibrierblatt gemäß DKD-R 7-1, Blatt 2"))</f>
        <v>Kalibrierblatt gemäß DKD-R 7-1</v>
      </c>
      <c r="B1" s="23"/>
      <c r="C1" s="23"/>
      <c r="D1" s="23"/>
      <c r="E1" s="23"/>
      <c r="F1" s="23"/>
      <c r="G1" s="23"/>
      <c r="H1" s="10"/>
      <c r="I1" s="23"/>
      <c r="J1" s="30" t="s">
        <v>446</v>
      </c>
      <c r="K1" s="4"/>
      <c r="L1" s="189"/>
      <c r="M1" s="5" t="s">
        <v>9</v>
      </c>
      <c r="N1" s="92" t="s">
        <v>152</v>
      </c>
    </row>
    <row r="2" spans="1:13" ht="15.75" customHeight="1">
      <c r="A2" s="7" t="s">
        <v>382</v>
      </c>
      <c r="K2" s="4"/>
      <c r="L2" s="189"/>
      <c r="M2" s="8" t="s">
        <v>4</v>
      </c>
    </row>
    <row r="3" spans="1:13" ht="12.75">
      <c r="A3" s="189" t="s">
        <v>354</v>
      </c>
      <c r="K3" s="4"/>
      <c r="L3" s="189"/>
      <c r="M3" s="8" t="s">
        <v>5</v>
      </c>
    </row>
    <row r="4" spans="1:13" ht="12.75">
      <c r="A4" s="189" t="s">
        <v>355</v>
      </c>
      <c r="B4" s="9"/>
      <c r="C4" s="9"/>
      <c r="D4" s="9"/>
      <c r="E4" s="9"/>
      <c r="F4" s="9"/>
      <c r="G4" s="9"/>
      <c r="H4" s="9"/>
      <c r="I4" s="9"/>
      <c r="J4" s="9"/>
      <c r="K4" s="4"/>
      <c r="L4" s="189"/>
      <c r="M4" s="8" t="s">
        <v>8</v>
      </c>
    </row>
    <row r="5" spans="1:13" ht="9" customHeight="1">
      <c r="A5" s="190" t="s">
        <v>356</v>
      </c>
      <c r="B5" s="9"/>
      <c r="C5" s="9"/>
      <c r="D5" s="9"/>
      <c r="E5" s="9"/>
      <c r="F5" s="9"/>
      <c r="G5" s="9"/>
      <c r="H5" s="9"/>
      <c r="I5" s="9"/>
      <c r="J5" s="9"/>
      <c r="K5" s="4"/>
      <c r="L5" s="189"/>
      <c r="M5" s="8"/>
    </row>
    <row r="6" spans="1:12" ht="15.75" customHeight="1">
      <c r="A6" s="2" t="s">
        <v>1</v>
      </c>
      <c r="B6" s="296"/>
      <c r="C6" s="296"/>
      <c r="D6" s="27"/>
      <c r="E6" s="25" t="s">
        <v>17</v>
      </c>
      <c r="I6" s="27"/>
      <c r="J6" s="27"/>
      <c r="K6" s="4"/>
      <c r="L6" s="189"/>
    </row>
    <row r="7" spans="1:13" ht="15.75" customHeight="1">
      <c r="A7" s="26" t="s">
        <v>387</v>
      </c>
      <c r="B7" s="290"/>
      <c r="C7" s="49"/>
      <c r="D7" s="27"/>
      <c r="E7" s="26" t="s">
        <v>23</v>
      </c>
      <c r="F7" s="47"/>
      <c r="G7" s="47"/>
      <c r="H7" s="300"/>
      <c r="I7" s="300"/>
      <c r="J7" s="300"/>
      <c r="K7" s="4"/>
      <c r="L7" s="189"/>
      <c r="M7" s="14" t="s">
        <v>20</v>
      </c>
    </row>
    <row r="8" spans="4:13" ht="15.75" customHeight="1" thickBot="1">
      <c r="D8" s="9"/>
      <c r="E8" s="7" t="s">
        <v>24</v>
      </c>
      <c r="F8" s="47"/>
      <c r="H8" s="299"/>
      <c r="I8" s="299"/>
      <c r="J8" s="299"/>
      <c r="K8" s="4"/>
      <c r="L8" s="189"/>
      <c r="M8" s="13" t="s">
        <v>18</v>
      </c>
    </row>
    <row r="9" spans="1:13" ht="15.75" customHeight="1" thickBot="1">
      <c r="A9" s="25" t="s">
        <v>21</v>
      </c>
      <c r="B9" s="9"/>
      <c r="C9" s="9"/>
      <c r="D9" s="27"/>
      <c r="E9" s="26" t="s">
        <v>25</v>
      </c>
      <c r="G9" s="27"/>
      <c r="H9" s="306"/>
      <c r="I9" s="307"/>
      <c r="J9" s="308"/>
      <c r="K9" s="4"/>
      <c r="L9" s="189"/>
      <c r="M9" s="41" t="s">
        <v>26</v>
      </c>
    </row>
    <row r="10" spans="1:15" ht="15.75" customHeight="1" thickBot="1">
      <c r="A10" s="2" t="s">
        <v>2</v>
      </c>
      <c r="B10" s="298"/>
      <c r="C10" s="298"/>
      <c r="D10" s="27"/>
      <c r="G10" s="27"/>
      <c r="H10" s="303"/>
      <c r="I10" s="304"/>
      <c r="J10" s="305"/>
      <c r="K10" s="4"/>
      <c r="L10" s="189"/>
      <c r="M10" s="41" t="s">
        <v>28</v>
      </c>
      <c r="O10" s="35" t="s">
        <v>19</v>
      </c>
    </row>
    <row r="11" spans="1:13" ht="15.75" customHeight="1" thickBot="1">
      <c r="A11" s="2" t="s">
        <v>11</v>
      </c>
      <c r="B11" s="297"/>
      <c r="C11" s="297"/>
      <c r="D11" s="27"/>
      <c r="E11" s="2"/>
      <c r="F11" s="27"/>
      <c r="G11" s="27"/>
      <c r="H11" s="301"/>
      <c r="I11" s="299"/>
      <c r="J11" s="302"/>
      <c r="K11" s="4"/>
      <c r="L11" s="189"/>
      <c r="M11" s="41" t="s">
        <v>27</v>
      </c>
    </row>
    <row r="12" spans="1:12" ht="18" customHeight="1">
      <c r="A12" s="2" t="s">
        <v>388</v>
      </c>
      <c r="C12" s="220"/>
      <c r="D12" s="27"/>
      <c r="E12" s="57" t="s">
        <v>30</v>
      </c>
      <c r="F12" s="32"/>
      <c r="G12" s="314"/>
      <c r="H12" s="314"/>
      <c r="I12" s="314"/>
      <c r="J12" s="314"/>
      <c r="K12" s="4"/>
      <c r="L12" s="189"/>
    </row>
    <row r="13" spans="1:16" ht="15.75" customHeight="1">
      <c r="A13" s="2" t="s">
        <v>389</v>
      </c>
      <c r="B13" s="9"/>
      <c r="C13" s="221"/>
      <c r="D13" s="93"/>
      <c r="E13" s="315"/>
      <c r="F13" s="315"/>
      <c r="G13" s="315"/>
      <c r="H13" s="315"/>
      <c r="I13" s="315"/>
      <c r="J13" s="315"/>
      <c r="K13" s="4"/>
      <c r="L13" s="189"/>
      <c r="M13" s="288"/>
      <c r="P13" s="86"/>
    </row>
    <row r="14" spans="1:18" ht="11.25" customHeight="1">
      <c r="A14" s="87">
        <f>IF(ISNUMBER(P13),"",IF(OR(ISBLANK(C13),ISTEXT(C13)),"",IF(C13&lt;0.01,"Achtung: Die angegebene Ablesbarkeit unterschreitet den Bereich für die automatische Zuweisung des Toleranzbereiches entspr. Fehlergrenzklasse!",IF(C13&gt;1000,"Achtung: Die angegebene Ablesbarkeit überschreitet den Bereich für die automatische Zuweisung des Toleranzbereiches gemäß Fehlergrenzklasse!",""))))</f>
      </c>
      <c r="B14" s="10"/>
      <c r="C14" s="88"/>
      <c r="D14" s="10"/>
      <c r="E14" s="33"/>
      <c r="F14" s="33"/>
      <c r="G14" s="33"/>
      <c r="H14" s="33"/>
      <c r="I14" s="33"/>
      <c r="J14" s="33"/>
      <c r="K14" s="4"/>
      <c r="L14" s="189"/>
      <c r="Q14" s="3"/>
      <c r="R14" s="3"/>
    </row>
    <row r="15" spans="1:13" ht="4.5" customHeight="1">
      <c r="A15" s="26"/>
      <c r="B15" s="47"/>
      <c r="C15" s="47"/>
      <c r="D15" s="47"/>
      <c r="E15" s="47"/>
      <c r="F15" s="47"/>
      <c r="G15" s="47"/>
      <c r="H15" s="47"/>
      <c r="I15" s="47"/>
      <c r="J15" s="47"/>
      <c r="K15" s="4"/>
      <c r="L15" s="189"/>
      <c r="M15" s="12"/>
    </row>
    <row r="16" spans="1:24" s="193" customFormat="1" ht="15" customHeight="1">
      <c r="A16" s="191" t="s">
        <v>353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4"/>
      <c r="L16" s="189"/>
      <c r="M16" s="189"/>
      <c r="N16" s="189"/>
      <c r="O16" s="197"/>
      <c r="P16" s="189"/>
      <c r="Q16" s="189"/>
      <c r="R16" s="189"/>
      <c r="S16" s="189"/>
      <c r="T16" s="189"/>
      <c r="U16" s="192"/>
      <c r="V16" s="192"/>
      <c r="W16" s="192"/>
      <c r="X16" s="192"/>
    </row>
    <row r="17" spans="1:24" s="193" customFormat="1" ht="15" customHeight="1">
      <c r="A17" s="194" t="s">
        <v>352</v>
      </c>
      <c r="B17" s="189"/>
      <c r="C17" s="189"/>
      <c r="D17" s="189"/>
      <c r="E17" s="194" t="s">
        <v>350</v>
      </c>
      <c r="F17" s="189"/>
      <c r="G17" s="189"/>
      <c r="H17" s="189"/>
      <c r="I17" s="189"/>
      <c r="J17" s="189"/>
      <c r="K17" s="4"/>
      <c r="L17" s="189"/>
      <c r="M17" s="189"/>
      <c r="N17" s="189"/>
      <c r="O17" s="197"/>
      <c r="P17" s="192"/>
      <c r="Q17" s="189"/>
      <c r="R17" s="189"/>
      <c r="S17" s="189"/>
      <c r="T17" s="189"/>
      <c r="U17" s="192"/>
      <c r="V17" s="192"/>
      <c r="W17" s="192"/>
      <c r="X17" s="192"/>
    </row>
    <row r="18" spans="1:24" s="193" customFormat="1" ht="15" customHeight="1">
      <c r="A18" s="233" t="s">
        <v>386</v>
      </c>
      <c r="B18" s="195">
        <f>IF(ISBLANK(C12),"","Zwischen: "&amp;ROUNDDOWN(0.8*C12,-1)&amp;"g und "&amp;ROUNDDOWN(C12,-1)&amp;"g")</f>
      </c>
      <c r="C18" s="189"/>
      <c r="D18" s="189"/>
      <c r="E18" s="196" t="s">
        <v>384</v>
      </c>
      <c r="F18" s="189"/>
      <c r="G18" s="189"/>
      <c r="H18" s="189"/>
      <c r="I18" s="189"/>
      <c r="J18" s="189"/>
      <c r="K18" s="4"/>
      <c r="L18" s="189"/>
      <c r="M18" s="189"/>
      <c r="N18" s="189"/>
      <c r="O18" s="197"/>
      <c r="P18" s="192"/>
      <c r="Q18" s="189"/>
      <c r="R18" s="189"/>
      <c r="S18" s="189"/>
      <c r="T18" s="189"/>
      <c r="U18" s="192"/>
      <c r="V18" s="192"/>
      <c r="W18" s="192"/>
      <c r="X18" s="192"/>
    </row>
    <row r="19" spans="1:24" s="193" customFormat="1" ht="15" customHeight="1">
      <c r="A19" s="197" t="s">
        <v>344</v>
      </c>
      <c r="B19" s="198"/>
      <c r="C19" s="189" t="s">
        <v>0</v>
      </c>
      <c r="D19" s="189"/>
      <c r="E19" s="199" t="s">
        <v>344</v>
      </c>
      <c r="F19" s="200">
        <f>B19</f>
        <v>0</v>
      </c>
      <c r="G19" s="209" t="s">
        <v>0</v>
      </c>
      <c r="H19" s="189"/>
      <c r="I19" s="189"/>
      <c r="J19" s="189"/>
      <c r="K19" s="4"/>
      <c r="L19" s="189"/>
      <c r="M19" s="189"/>
      <c r="N19" s="189"/>
      <c r="O19" s="197"/>
      <c r="P19" s="192"/>
      <c r="Q19" s="189"/>
      <c r="R19" s="189"/>
      <c r="S19" s="189"/>
      <c r="T19" s="189"/>
      <c r="U19" s="192"/>
      <c r="V19" s="192"/>
      <c r="W19" s="192"/>
      <c r="X19" s="192"/>
    </row>
    <row r="20" spans="1:24" s="193" customFormat="1" ht="15" customHeight="1">
      <c r="A20" s="201" t="s">
        <v>343</v>
      </c>
      <c r="B20" s="207"/>
      <c r="C20" s="189" t="s">
        <v>0</v>
      </c>
      <c r="D20" s="189"/>
      <c r="E20" s="312" t="s">
        <v>342</v>
      </c>
      <c r="F20" s="202"/>
      <c r="G20" s="189" t="s">
        <v>151</v>
      </c>
      <c r="H20" s="189"/>
      <c r="I20" s="189"/>
      <c r="J20" s="189"/>
      <c r="K20" s="4"/>
      <c r="L20" s="189"/>
      <c r="M20" s="189"/>
      <c r="N20" s="189"/>
      <c r="O20" s="197"/>
      <c r="P20" s="192"/>
      <c r="Q20" s="189"/>
      <c r="R20" s="189"/>
      <c r="S20" s="189"/>
      <c r="T20" s="189"/>
      <c r="U20" s="192"/>
      <c r="V20" s="192"/>
      <c r="W20" s="192"/>
      <c r="X20" s="192"/>
    </row>
    <row r="21" spans="1:24" s="193" customFormat="1" ht="15" customHeight="1">
      <c r="A21" s="201" t="s">
        <v>341</v>
      </c>
      <c r="B21" s="207"/>
      <c r="C21" s="189" t="s">
        <v>0</v>
      </c>
      <c r="D21" s="189"/>
      <c r="E21" s="313"/>
      <c r="F21" s="202"/>
      <c r="G21" s="189" t="s">
        <v>151</v>
      </c>
      <c r="H21" s="189"/>
      <c r="I21" s="189"/>
      <c r="J21" s="189"/>
      <c r="K21" s="4"/>
      <c r="L21" s="189"/>
      <c r="M21" s="189"/>
      <c r="N21" s="189"/>
      <c r="O21" s="197"/>
      <c r="P21" s="189"/>
      <c r="Q21" s="189"/>
      <c r="R21" s="189"/>
      <c r="S21" s="189"/>
      <c r="T21" s="189"/>
      <c r="U21" s="192"/>
      <c r="V21" s="192"/>
      <c r="W21" s="192"/>
      <c r="X21" s="192"/>
    </row>
    <row r="22" spans="1:24" s="193" customFormat="1" ht="15" customHeight="1" hidden="1" outlineLevel="1">
      <c r="A22" s="189" t="s">
        <v>340</v>
      </c>
      <c r="B22" s="189">
        <f>B21-B20</f>
        <v>0</v>
      </c>
      <c r="C22" s="189" t="s">
        <v>0</v>
      </c>
      <c r="D22" s="189"/>
      <c r="E22" s="209" t="s">
        <v>394</v>
      </c>
      <c r="F22" s="203" t="e">
        <f>1/4*(SUM(F20/1000,F21/1000)/B19)^2</f>
        <v>#DIV/0!</v>
      </c>
      <c r="G22" s="204"/>
      <c r="H22" s="189"/>
      <c r="I22" s="189"/>
      <c r="J22" s="189"/>
      <c r="K22" s="4"/>
      <c r="L22" s="189"/>
      <c r="M22" s="189"/>
      <c r="N22" s="189"/>
      <c r="O22" s="197"/>
      <c r="P22" s="189"/>
      <c r="Q22" s="189"/>
      <c r="R22" s="189"/>
      <c r="S22" s="189"/>
      <c r="T22" s="189"/>
      <c r="U22" s="192"/>
      <c r="V22" s="192"/>
      <c r="W22" s="192"/>
      <c r="X22" s="192"/>
    </row>
    <row r="23" spans="1:24" s="193" customFormat="1" ht="15" customHeight="1" hidden="1" outlineLevel="1">
      <c r="A23" s="189" t="s">
        <v>338</v>
      </c>
      <c r="B23" s="205" t="e">
        <f>B22/B19</f>
        <v>#DIV/0!</v>
      </c>
      <c r="C23" s="189"/>
      <c r="D23" s="189"/>
      <c r="E23" s="189"/>
      <c r="F23" s="189"/>
      <c r="G23" s="189"/>
      <c r="H23" s="189"/>
      <c r="I23" s="189"/>
      <c r="J23" s="189"/>
      <c r="K23" s="4"/>
      <c r="L23" s="189"/>
      <c r="M23" s="189"/>
      <c r="N23" s="189"/>
      <c r="O23" s="197"/>
      <c r="P23" s="189"/>
      <c r="Q23" s="189"/>
      <c r="R23" s="189"/>
      <c r="S23" s="189"/>
      <c r="T23" s="189"/>
      <c r="U23" s="192"/>
      <c r="V23" s="192"/>
      <c r="W23" s="192"/>
      <c r="X23" s="192"/>
    </row>
    <row r="24" spans="1:24" s="193" customFormat="1" ht="15" customHeight="1" collapsed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4"/>
      <c r="L24" s="189"/>
      <c r="M24" s="189"/>
      <c r="N24" s="189"/>
      <c r="O24" s="197"/>
      <c r="P24" s="189"/>
      <c r="Q24" s="189"/>
      <c r="R24" s="189"/>
      <c r="S24" s="189"/>
      <c r="T24" s="189"/>
      <c r="U24" s="192"/>
      <c r="V24" s="192"/>
      <c r="W24" s="192"/>
      <c r="X24" s="192"/>
    </row>
    <row r="25" spans="1:24" s="193" customFormat="1" ht="15" customHeight="1">
      <c r="A25" s="194" t="s">
        <v>351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4"/>
      <c r="L25" s="189"/>
      <c r="M25" s="189"/>
      <c r="N25" s="189"/>
      <c r="O25" s="197"/>
      <c r="P25" s="189"/>
      <c r="Q25" s="189"/>
      <c r="R25" s="189"/>
      <c r="S25" s="189"/>
      <c r="T25" s="189"/>
      <c r="U25" s="192"/>
      <c r="V25" s="192"/>
      <c r="W25" s="192"/>
      <c r="X25" s="192"/>
    </row>
    <row r="26" spans="1:24" s="193" customFormat="1" ht="15" customHeight="1">
      <c r="A26" s="189" t="s">
        <v>349</v>
      </c>
      <c r="B26" s="202"/>
      <c r="C26" s="189" t="s">
        <v>348</v>
      </c>
      <c r="D26" s="189"/>
      <c r="E26" s="189"/>
      <c r="F26" s="189"/>
      <c r="G26" s="189"/>
      <c r="H26" s="189"/>
      <c r="I26" s="189"/>
      <c r="J26" s="189"/>
      <c r="K26" s="4"/>
      <c r="L26" s="189"/>
      <c r="M26" s="189"/>
      <c r="N26" s="189"/>
      <c r="O26" s="197"/>
      <c r="P26" s="189"/>
      <c r="Q26" s="189"/>
      <c r="R26" s="189"/>
      <c r="S26" s="189"/>
      <c r="T26" s="189"/>
      <c r="U26" s="192"/>
      <c r="V26" s="192"/>
      <c r="W26" s="192"/>
      <c r="X26" s="192"/>
    </row>
    <row r="27" spans="1:24" s="193" customFormat="1" ht="15" customHeight="1">
      <c r="A27" s="189" t="s">
        <v>346</v>
      </c>
      <c r="B27" s="202"/>
      <c r="C27" s="209" t="s">
        <v>406</v>
      </c>
      <c r="D27" s="189"/>
      <c r="E27" s="189"/>
      <c r="F27" s="189"/>
      <c r="G27" s="189"/>
      <c r="H27" s="189"/>
      <c r="I27" s="189"/>
      <c r="J27" s="189"/>
      <c r="K27" s="4"/>
      <c r="L27" s="189"/>
      <c r="M27" s="189"/>
      <c r="N27" s="189"/>
      <c r="O27" s="197"/>
      <c r="P27" s="189"/>
      <c r="Q27" s="189"/>
      <c r="R27" s="189"/>
      <c r="S27" s="189"/>
      <c r="T27" s="189"/>
      <c r="U27" s="192"/>
      <c r="V27" s="192"/>
      <c r="W27" s="192"/>
      <c r="X27" s="192"/>
    </row>
    <row r="28" spans="1:24" s="193" customFormat="1" ht="15" customHeight="1" hidden="1" outlineLevel="1">
      <c r="A28" s="189" t="s">
        <v>339</v>
      </c>
      <c r="B28" s="203">
        <f>IF(COUNT(B26:B27)&lt;2,"",1/12*(B26*B27/1000000)^2)</f>
      </c>
      <c r="C28" s="189"/>
      <c r="D28" s="189"/>
      <c r="E28" s="189"/>
      <c r="F28" s="189"/>
      <c r="G28" s="189"/>
      <c r="H28" s="189"/>
      <c r="I28" s="189"/>
      <c r="J28" s="189"/>
      <c r="K28" s="4"/>
      <c r="L28" s="189"/>
      <c r="M28" s="189"/>
      <c r="N28" s="189"/>
      <c r="O28" s="197"/>
      <c r="P28" s="189"/>
      <c r="Q28" s="189"/>
      <c r="R28" s="189"/>
      <c r="S28" s="189"/>
      <c r="T28" s="189"/>
      <c r="U28" s="192"/>
      <c r="V28" s="192"/>
      <c r="W28" s="192"/>
      <c r="X28" s="192"/>
    </row>
    <row r="29" spans="1:24" s="193" customFormat="1" ht="15" customHeight="1" collapsed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4"/>
      <c r="L29" s="189"/>
      <c r="M29" s="189"/>
      <c r="N29" s="189"/>
      <c r="O29" s="197"/>
      <c r="P29" s="189"/>
      <c r="Q29" s="189"/>
      <c r="R29" s="189"/>
      <c r="S29" s="189"/>
      <c r="T29" s="189"/>
      <c r="U29" s="192"/>
      <c r="V29" s="192"/>
      <c r="W29" s="192"/>
      <c r="X29" s="192"/>
    </row>
    <row r="30" spans="1:24" s="193" customFormat="1" ht="15" customHeight="1">
      <c r="A30" s="194" t="s">
        <v>337</v>
      </c>
      <c r="B30" s="189"/>
      <c r="C30" s="189"/>
      <c r="E30" s="194" t="s">
        <v>336</v>
      </c>
      <c r="F30" s="192"/>
      <c r="G30" s="189"/>
      <c r="H30" s="189"/>
      <c r="I30" s="189"/>
      <c r="J30" s="189"/>
      <c r="K30" s="4"/>
      <c r="L30" s="189"/>
      <c r="M30" s="189"/>
      <c r="N30" s="189"/>
      <c r="O30" s="197"/>
      <c r="P30" s="189"/>
      <c r="Q30" s="189"/>
      <c r="R30" s="189"/>
      <c r="S30" s="189"/>
      <c r="T30" s="189"/>
      <c r="U30" s="192"/>
      <c r="V30" s="192"/>
      <c r="W30" s="192"/>
      <c r="X30" s="192"/>
    </row>
    <row r="31" spans="1:24" s="193" customFormat="1" ht="15" customHeight="1">
      <c r="A31" s="209" t="s">
        <v>333</v>
      </c>
      <c r="B31" s="195">
        <f>IF(ISBLANK(C12),"","Zwischen: "&amp;ROUNDDOWN(0.1*C12,-1)&amp;"g und "&amp;ROUNDDOWN(C12,-1)&amp;"g")</f>
      </c>
      <c r="C31" s="189"/>
      <c r="E31" s="195" t="s">
        <v>335</v>
      </c>
      <c r="F31" s="192"/>
      <c r="G31" s="192"/>
      <c r="H31" s="192"/>
      <c r="I31" s="192"/>
      <c r="J31" s="189"/>
      <c r="K31" s="4"/>
      <c r="L31" s="189"/>
      <c r="M31" s="189"/>
      <c r="N31" s="189"/>
      <c r="O31" s="197"/>
      <c r="P31" s="189"/>
      <c r="Q31" s="189"/>
      <c r="R31" s="189"/>
      <c r="S31" s="189"/>
      <c r="T31" s="189"/>
      <c r="U31" s="192"/>
      <c r="V31" s="192"/>
      <c r="W31" s="192"/>
      <c r="X31" s="192"/>
    </row>
    <row r="32" spans="1:24" s="193" customFormat="1" ht="15" customHeight="1">
      <c r="A32" s="209" t="s">
        <v>385</v>
      </c>
      <c r="B32" s="202"/>
      <c r="C32" s="189" t="s">
        <v>0</v>
      </c>
      <c r="E32" s="189" t="s">
        <v>333</v>
      </c>
      <c r="F32" s="206">
        <f>IF(OR(ISBLANK(C12),ISBLANK(C13)),"",IF((C12*1000/C13)&gt;1000000,"≈ "&amp;ROUNDDOWN(0.25*C12,-1)&amp;"g  (alle Messg.)","P1 = "&amp;ROUNDDOWN(0.2*C12,-1)&amp;" bis "&amp;ROUNDDOWN(0.28*C12,-1)&amp;"g ;  P2 = "&amp;ROUNDDOWN(0.4*C12,-1)&amp;" bis "&amp;ROUNDDOWN(0.6*C12,-1)&amp;"g ;  P3 = "&amp;ROUNDDOWN(0.6*C12,-1)&amp;" bis "&amp;ROUNDDOWN(0.8*C12,-1)&amp;"g"))</f>
      </c>
      <c r="G32" s="189"/>
      <c r="H32" s="189"/>
      <c r="I32" s="189"/>
      <c r="J32" s="189"/>
      <c r="K32" s="4"/>
      <c r="L32" s="189"/>
      <c r="M32" s="189"/>
      <c r="N32" s="189"/>
      <c r="O32" s="197"/>
      <c r="P32" s="189"/>
      <c r="Q32" s="189"/>
      <c r="R32" s="189"/>
      <c r="S32" s="189"/>
      <c r="T32" s="189"/>
      <c r="U32" s="192"/>
      <c r="V32" s="192"/>
      <c r="W32" s="192"/>
      <c r="X32" s="192"/>
    </row>
    <row r="33" spans="1:24" s="193" customFormat="1" ht="15" customHeight="1">
      <c r="A33" s="189"/>
      <c r="B33" s="231" t="s">
        <v>320</v>
      </c>
      <c r="C33" s="189"/>
      <c r="E33" s="189" t="s">
        <v>327</v>
      </c>
      <c r="F33" s="189">
        <f>IF(OR(ISBLANK(C12),ISBLANK(C13)),"",IF((C12*1000/C13)&gt;1000000,"T0 = 0 ;  "&amp;"T1 ≈ "&amp;ROUNDDOWN(0.25*C12,-1)&amp;"g ;  T2 ≈ "&amp;ROUNDDOWN(0.5*C12,-1)&amp;"g ;  T3 ≈ "&amp;ROUNDDOWN(0.75*C12,-1)&amp;"g","T0 = 0g ;  T1 = "&amp;ROUNDDOWN(0.25*C12,-1)&amp;"g bis "&amp;ROUNDDOWN(0.4*C12,-1)&amp;"g"))</f>
      </c>
      <c r="G33" s="189"/>
      <c r="H33" s="189"/>
      <c r="I33" s="189"/>
      <c r="J33" s="189"/>
      <c r="K33" s="4"/>
      <c r="L33" s="189"/>
      <c r="M33" s="189"/>
      <c r="N33" s="189"/>
      <c r="O33" s="197"/>
      <c r="P33" s="189"/>
      <c r="Q33" s="189"/>
      <c r="R33" s="189"/>
      <c r="S33" s="189"/>
      <c r="T33" s="189"/>
      <c r="U33" s="192"/>
      <c r="V33" s="192"/>
      <c r="W33" s="192"/>
      <c r="X33" s="192"/>
    </row>
    <row r="34" spans="1:24" s="193" customFormat="1" ht="15" customHeight="1">
      <c r="A34" s="201" t="s">
        <v>323</v>
      </c>
      <c r="B34" s="207"/>
      <c r="C34" s="189" t="s">
        <v>0</v>
      </c>
      <c r="E34" s="189"/>
      <c r="F34" s="201" t="s">
        <v>322</v>
      </c>
      <c r="G34" s="201" t="s">
        <v>321</v>
      </c>
      <c r="H34" s="208" t="s">
        <v>320</v>
      </c>
      <c r="I34" s="189"/>
      <c r="J34" s="189"/>
      <c r="K34" s="4"/>
      <c r="L34" s="189"/>
      <c r="M34" s="189"/>
      <c r="N34" s="189"/>
      <c r="O34" s="197"/>
      <c r="P34" s="189"/>
      <c r="Q34" s="189"/>
      <c r="R34" s="189"/>
      <c r="S34" s="189"/>
      <c r="T34" s="189"/>
      <c r="U34" s="192"/>
      <c r="V34" s="192"/>
      <c r="W34" s="192"/>
      <c r="X34" s="192"/>
    </row>
    <row r="35" spans="1:24" s="193" customFormat="1" ht="15" customHeight="1">
      <c r="A35" s="201" t="s">
        <v>318</v>
      </c>
      <c r="B35" s="207"/>
      <c r="C35" s="189" t="s">
        <v>0</v>
      </c>
      <c r="E35" s="289">
        <f>IF(OR(ISBLANK(C12),ISBLANK(C13)),"",IF((C12*1000/C13)&gt;1000000,"Messg.1  (T0)","M.1  (P1 ; T0)"))</f>
      </c>
      <c r="F35" s="202"/>
      <c r="G35" s="202"/>
      <c r="H35" s="207"/>
      <c r="I35" s="189" t="s">
        <v>0</v>
      </c>
      <c r="J35" s="189"/>
      <c r="K35" s="4"/>
      <c r="L35" s="189"/>
      <c r="M35" s="189"/>
      <c r="N35" s="189"/>
      <c r="O35" s="197"/>
      <c r="P35" s="189"/>
      <c r="Q35" s="189"/>
      <c r="R35" s="189"/>
      <c r="S35" s="189"/>
      <c r="T35" s="189"/>
      <c r="U35" s="192"/>
      <c r="V35" s="192"/>
      <c r="W35" s="192"/>
      <c r="X35" s="192"/>
    </row>
    <row r="36" spans="1:24" s="193" customFormat="1" ht="15" customHeight="1">
      <c r="A36" s="201" t="s">
        <v>316</v>
      </c>
      <c r="B36" s="207"/>
      <c r="C36" s="189" t="s">
        <v>0</v>
      </c>
      <c r="E36" s="289">
        <f>IF(OR(ISBLANK(C12),ISBLANK(C13)),"",IF((C12*1000/C13)&gt;1000000,"Messg.2  (T1)","M.2  (P2 ; T0)"))</f>
      </c>
      <c r="F36" s="202"/>
      <c r="G36" s="202"/>
      <c r="H36" s="207"/>
      <c r="I36" s="189" t="s">
        <v>0</v>
      </c>
      <c r="J36" s="189"/>
      <c r="K36" s="4"/>
      <c r="L36" s="189"/>
      <c r="M36" s="189"/>
      <c r="N36" s="189"/>
      <c r="O36" s="197"/>
      <c r="P36" s="189"/>
      <c r="Q36" s="189"/>
      <c r="R36" s="189"/>
      <c r="S36" s="189"/>
      <c r="T36" s="189"/>
      <c r="U36" s="192"/>
      <c r="V36" s="192"/>
      <c r="W36" s="192"/>
      <c r="X36" s="192"/>
    </row>
    <row r="37" spans="1:24" s="193" customFormat="1" ht="15" customHeight="1">
      <c r="A37" s="201" t="s">
        <v>314</v>
      </c>
      <c r="B37" s="207"/>
      <c r="C37" s="189" t="s">
        <v>0</v>
      </c>
      <c r="E37" s="289">
        <f>IF(OR(ISBLANK(C12),ISBLANK(C13)),"",IF((C12*1000/C13)&gt;1000000,"Messg.3  (T2)","M.3  (P3 ; T0)"))</f>
      </c>
      <c r="F37" s="202"/>
      <c r="G37" s="202"/>
      <c r="H37" s="207"/>
      <c r="I37" s="189" t="s">
        <v>0</v>
      </c>
      <c r="J37" s="189"/>
      <c r="K37" s="4"/>
      <c r="L37" s="189"/>
      <c r="M37" s="189"/>
      <c r="N37" s="189"/>
      <c r="O37" s="197"/>
      <c r="P37" s="189"/>
      <c r="Q37" s="189"/>
      <c r="R37" s="189"/>
      <c r="S37" s="189"/>
      <c r="T37" s="189"/>
      <c r="U37" s="192"/>
      <c r="V37" s="192"/>
      <c r="W37" s="192"/>
      <c r="X37" s="192"/>
    </row>
    <row r="38" spans="1:24" s="193" customFormat="1" ht="15" customHeight="1">
      <c r="A38" s="201" t="s">
        <v>312</v>
      </c>
      <c r="B38" s="207"/>
      <c r="C38" s="189" t="s">
        <v>0</v>
      </c>
      <c r="E38" s="289">
        <f>IF(OR(ISBLANK(C12),ISBLANK(C13)),"",IF((C12*1000/C13)&gt;1000000,"Messg.4  (T3)","M.4  (P1 ; T1)"))</f>
      </c>
      <c r="F38" s="202"/>
      <c r="G38" s="202"/>
      <c r="H38" s="207"/>
      <c r="I38" s="189" t="s">
        <v>0</v>
      </c>
      <c r="J38" s="189"/>
      <c r="K38" s="4"/>
      <c r="L38" s="189"/>
      <c r="M38" s="189"/>
      <c r="N38" s="189"/>
      <c r="O38" s="197"/>
      <c r="P38" s="189"/>
      <c r="Q38" s="189"/>
      <c r="R38" s="189"/>
      <c r="S38" s="189"/>
      <c r="T38" s="189"/>
      <c r="U38" s="192"/>
      <c r="V38" s="192"/>
      <c r="W38" s="192"/>
      <c r="X38" s="192"/>
    </row>
    <row r="39" spans="1:24" s="193" customFormat="1" ht="15" customHeight="1">
      <c r="A39" s="201" t="s">
        <v>310</v>
      </c>
      <c r="B39" s="207"/>
      <c r="C39" s="189" t="s">
        <v>0</v>
      </c>
      <c r="E39" s="289">
        <f>IF(OR(ISBLANK(C12),ISBLANK(C13)),"",IF((C12*1000/C13)&gt;1000000,"Messg.5  (T1)","M.5  (P2 ; T1)"))</f>
      </c>
      <c r="F39" s="202"/>
      <c r="G39" s="202"/>
      <c r="H39" s="207"/>
      <c r="I39" s="189" t="s">
        <v>0</v>
      </c>
      <c r="J39" s="189"/>
      <c r="K39" s="4"/>
      <c r="L39" s="189"/>
      <c r="M39" s="189"/>
      <c r="N39" s="189"/>
      <c r="O39" s="197"/>
      <c r="P39" s="189"/>
      <c r="Q39" s="189"/>
      <c r="R39" s="189"/>
      <c r="S39" s="189"/>
      <c r="T39" s="189"/>
      <c r="U39" s="192"/>
      <c r="V39" s="192"/>
      <c r="W39" s="192"/>
      <c r="X39" s="192"/>
    </row>
    <row r="40" spans="1:24" s="193" customFormat="1" ht="1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4"/>
      <c r="L40" s="189"/>
      <c r="N40" s="189"/>
      <c r="O40" s="197"/>
      <c r="P40" s="189"/>
      <c r="Q40" s="189"/>
      <c r="R40" s="189"/>
      <c r="S40" s="189"/>
      <c r="T40" s="189"/>
      <c r="U40" s="192"/>
      <c r="V40" s="192"/>
      <c r="W40" s="192"/>
      <c r="X40" s="192"/>
    </row>
    <row r="41" spans="1:24" s="193" customFormat="1" ht="15" customHeight="1">
      <c r="A41" s="194" t="s">
        <v>148</v>
      </c>
      <c r="B41" s="189"/>
      <c r="C41" s="189"/>
      <c r="D41" s="189"/>
      <c r="E41" s="189"/>
      <c r="F41" s="189"/>
      <c r="G41" s="250" t="s">
        <v>368</v>
      </c>
      <c r="H41" s="249"/>
      <c r="I41" s="199"/>
      <c r="K41" s="4"/>
      <c r="L41" s="189"/>
      <c r="Q41" s="189"/>
      <c r="R41" s="189"/>
      <c r="S41" s="189"/>
      <c r="T41" s="189"/>
      <c r="U41" s="192"/>
      <c r="V41" s="192"/>
      <c r="W41" s="192"/>
      <c r="X41" s="192"/>
    </row>
    <row r="42" spans="1:24" s="193" customFormat="1" ht="15" customHeight="1">
      <c r="A42" s="209" t="s">
        <v>333</v>
      </c>
      <c r="B42" s="195">
        <f>IF(ISBLANK(C12),"","Zwischen: "&amp;ROUNDDOWN(0.3*C12,-1)&amp;"g und "&amp;ROUNDDOWN(C12,-1)&amp;"g")</f>
      </c>
      <c r="C42" s="189"/>
      <c r="D42" s="189"/>
      <c r="E42" s="189"/>
      <c r="F42" s="189"/>
      <c r="G42" s="247" t="s">
        <v>304</v>
      </c>
      <c r="H42" s="236">
        <f>IF(COUNT(H90:H95)&lt;6,"",B53)</f>
      </c>
      <c r="I42" s="248" t="s">
        <v>302</v>
      </c>
      <c r="K42" s="4"/>
      <c r="L42" s="189"/>
      <c r="M42" s="209" t="s">
        <v>397</v>
      </c>
      <c r="Q42" s="189"/>
      <c r="R42" s="189"/>
      <c r="T42" s="189"/>
      <c r="U42" s="192"/>
      <c r="V42" s="192"/>
      <c r="W42" s="192"/>
      <c r="X42" s="192"/>
    </row>
    <row r="43" spans="1:24" s="193" customFormat="1" ht="15" customHeight="1">
      <c r="A43" s="209" t="s">
        <v>385</v>
      </c>
      <c r="B43" s="202"/>
      <c r="C43" s="189" t="s">
        <v>0</v>
      </c>
      <c r="D43" s="189"/>
      <c r="E43" s="189"/>
      <c r="F43" s="189"/>
      <c r="G43" s="237" t="s">
        <v>303</v>
      </c>
      <c r="H43" s="238">
        <f>IF(ISBLANK(C13),"",B54)</f>
      </c>
      <c r="I43" s="239" t="s">
        <v>302</v>
      </c>
      <c r="K43" s="4"/>
      <c r="L43" s="189"/>
      <c r="M43" s="209" t="s">
        <v>390</v>
      </c>
      <c r="Q43" s="189"/>
      <c r="R43" s="189"/>
      <c r="S43" s="189"/>
      <c r="T43" s="189"/>
      <c r="U43" s="192"/>
      <c r="V43" s="192"/>
      <c r="W43" s="192"/>
      <c r="X43" s="192"/>
    </row>
    <row r="44" spans="1:24" s="193" customFormat="1" ht="15" customHeight="1">
      <c r="A44" s="189"/>
      <c r="B44" s="231" t="s">
        <v>320</v>
      </c>
      <c r="C44" s="205"/>
      <c r="D44" s="189"/>
      <c r="E44" s="189"/>
      <c r="F44" s="189"/>
      <c r="G44" s="237" t="s">
        <v>307</v>
      </c>
      <c r="H44" s="238">
        <f>IF(OR(ISBLANK(B43),H51=-B43),"",H52)</f>
      </c>
      <c r="I44" s="240"/>
      <c r="K44" s="4"/>
      <c r="L44" s="189"/>
      <c r="M44" s="209" t="s">
        <v>391</v>
      </c>
      <c r="Q44" s="189"/>
      <c r="R44" s="189"/>
      <c r="S44" s="189"/>
      <c r="T44" s="189"/>
      <c r="U44" s="192"/>
      <c r="V44" s="192"/>
      <c r="W44" s="192"/>
      <c r="X44" s="192"/>
    </row>
    <row r="45" spans="1:24" s="193" customFormat="1" ht="15" customHeight="1">
      <c r="A45" s="201" t="s">
        <v>319</v>
      </c>
      <c r="B45" s="207"/>
      <c r="C45" s="232" t="s">
        <v>0</v>
      </c>
      <c r="D45" s="189"/>
      <c r="E45" s="189"/>
      <c r="F45" s="189"/>
      <c r="G45" s="237" t="s">
        <v>308</v>
      </c>
      <c r="H45" s="238">
        <f>IF(COUNT(F35:G39,I90:I94)&lt;15,"",E51)</f>
      </c>
      <c r="I45" s="240"/>
      <c r="K45" s="4"/>
      <c r="L45" s="189"/>
      <c r="M45" s="209" t="s">
        <v>392</v>
      </c>
      <c r="Q45" s="189"/>
      <c r="R45" s="189"/>
      <c r="S45" s="189"/>
      <c r="T45" s="189"/>
      <c r="U45" s="192"/>
      <c r="V45" s="192"/>
      <c r="W45" s="192"/>
      <c r="X45" s="192"/>
    </row>
    <row r="46" spans="1:24" s="193" customFormat="1" ht="15" customHeight="1">
      <c r="A46" s="201" t="s">
        <v>317</v>
      </c>
      <c r="B46" s="207"/>
      <c r="C46" s="232" t="s">
        <v>0</v>
      </c>
      <c r="D46" s="189"/>
      <c r="E46" s="189"/>
      <c r="F46" s="189"/>
      <c r="G46" s="237" t="s">
        <v>339</v>
      </c>
      <c r="H46" s="238">
        <f>IF(COUNT(B26:B27)&lt;2,"",B28)</f>
      </c>
      <c r="I46" s="240"/>
      <c r="K46" s="4"/>
      <c r="L46" s="189"/>
      <c r="M46" s="209" t="s">
        <v>402</v>
      </c>
      <c r="Q46" s="189"/>
      <c r="R46" s="189"/>
      <c r="S46" s="189"/>
      <c r="T46" s="189"/>
      <c r="U46" s="192"/>
      <c r="V46" s="192"/>
      <c r="W46" s="192"/>
      <c r="X46" s="192"/>
    </row>
    <row r="47" spans="1:24" s="193" customFormat="1" ht="15" customHeight="1">
      <c r="A47" s="201" t="s">
        <v>315</v>
      </c>
      <c r="B47" s="207"/>
      <c r="C47" s="232" t="s">
        <v>0</v>
      </c>
      <c r="D47" s="189"/>
      <c r="E47" s="189"/>
      <c r="F47" s="189"/>
      <c r="G47" s="241" t="s">
        <v>394</v>
      </c>
      <c r="H47" s="242">
        <f>IF(COUNT(F20:F21)&lt;2,"",F22)</f>
      </c>
      <c r="I47" s="243"/>
      <c r="K47" s="4"/>
      <c r="L47" s="189"/>
      <c r="M47" s="209" t="s">
        <v>393</v>
      </c>
      <c r="Q47" s="189"/>
      <c r="R47" s="189"/>
      <c r="S47" s="189"/>
      <c r="T47" s="189"/>
      <c r="U47" s="192"/>
      <c r="V47" s="192"/>
      <c r="W47" s="192"/>
      <c r="X47" s="192"/>
    </row>
    <row r="48" spans="1:24" s="193" customFormat="1" ht="15" customHeight="1">
      <c r="A48" s="201" t="s">
        <v>313</v>
      </c>
      <c r="B48" s="207"/>
      <c r="C48" s="232" t="s">
        <v>0</v>
      </c>
      <c r="D48" s="189"/>
      <c r="E48" s="189"/>
      <c r="F48" s="189"/>
      <c r="G48" s="237" t="s">
        <v>299</v>
      </c>
      <c r="H48" s="284">
        <f>IF(ISERROR(E53),"",E53)</f>
      </c>
      <c r="I48" s="244" t="s">
        <v>0</v>
      </c>
      <c r="K48" s="4"/>
      <c r="L48" s="189"/>
      <c r="M48" s="209" t="s">
        <v>395</v>
      </c>
      <c r="Q48" s="189"/>
      <c r="R48" s="189"/>
      <c r="S48" s="189"/>
      <c r="T48" s="189"/>
      <c r="U48" s="192"/>
      <c r="V48" s="192"/>
      <c r="W48" s="192"/>
      <c r="X48" s="192"/>
    </row>
    <row r="49" spans="1:24" s="193" customFormat="1" ht="15" customHeight="1">
      <c r="A49" s="201" t="s">
        <v>311</v>
      </c>
      <c r="B49" s="207"/>
      <c r="C49" s="232" t="s">
        <v>0</v>
      </c>
      <c r="D49" s="189"/>
      <c r="E49" s="189"/>
      <c r="F49" s="189"/>
      <c r="G49" s="245" t="s">
        <v>298</v>
      </c>
      <c r="H49" s="285">
        <f>IF(ISERROR(E54),"",E54)</f>
      </c>
      <c r="I49" s="246" t="s">
        <v>0</v>
      </c>
      <c r="K49" s="4"/>
      <c r="L49" s="189"/>
      <c r="M49" s="209" t="s">
        <v>396</v>
      </c>
      <c r="Q49" s="189"/>
      <c r="R49" s="189"/>
      <c r="S49" s="189"/>
      <c r="T49" s="189"/>
      <c r="U49" s="192"/>
      <c r="V49" s="192"/>
      <c r="W49" s="192"/>
      <c r="X49" s="192"/>
    </row>
    <row r="50" spans="1:21" s="193" customFormat="1" ht="15" customHeight="1" hidden="1" outlineLevel="1">
      <c r="A50" s="209" t="s">
        <v>337</v>
      </c>
      <c r="B50" s="189"/>
      <c r="C50" s="189"/>
      <c r="D50" s="209" t="s">
        <v>336</v>
      </c>
      <c r="E50" s="189"/>
      <c r="F50" s="189"/>
      <c r="G50" s="209" t="s">
        <v>148</v>
      </c>
      <c r="H50" s="189"/>
      <c r="I50" s="189"/>
      <c r="K50" s="4"/>
      <c r="L50" s="189"/>
      <c r="U50" s="192"/>
    </row>
    <row r="51" spans="1:21" s="193" customFormat="1" ht="15" customHeight="1" hidden="1" outlineLevel="1">
      <c r="A51" s="189"/>
      <c r="B51" s="189">
        <f>AVERAGE(A91:A96)</f>
        <v>0</v>
      </c>
      <c r="C51" s="189" t="s">
        <v>0</v>
      </c>
      <c r="D51" s="189" t="s">
        <v>308</v>
      </c>
      <c r="E51" s="210">
        <f>IF(COUNT(F35:G39,I90:I94)&lt;15,"",IF(SUM(E90:E95)=0,ABS(1/COUNT(G35:G39)*SUM(E90:E95)),1/COUNT(G35:G39)*SUM(E90:E95)))</f>
      </c>
      <c r="F51" s="192"/>
      <c r="G51" s="189" t="s">
        <v>309</v>
      </c>
      <c r="H51" s="189">
        <f>VLOOKUP(MAX(F90:F94),F90:G94,2,FALSE)</f>
        <v>0</v>
      </c>
      <c r="I51" s="189" t="s">
        <v>0</v>
      </c>
      <c r="K51" s="4"/>
      <c r="L51" s="189"/>
      <c r="U51" s="192"/>
    </row>
    <row r="52" spans="1:21" s="193" customFormat="1" ht="15" customHeight="1" hidden="1" outlineLevel="1">
      <c r="A52" s="197" t="s">
        <v>305</v>
      </c>
      <c r="B52" s="189">
        <f>STDEV(A91:A96)*1000</f>
        <v>0</v>
      </c>
      <c r="C52" s="189" t="s">
        <v>151</v>
      </c>
      <c r="D52" s="189"/>
      <c r="E52" s="189"/>
      <c r="F52" s="189"/>
      <c r="G52" s="189" t="s">
        <v>307</v>
      </c>
      <c r="H52" s="210">
        <f>IF(OR(ISBLANK(B43),H51=-B43),"",IF(H51=0,0,1/3*((H51*C12/3/B43)/C12)^2))</f>
      </c>
      <c r="I52" s="189"/>
      <c r="K52" s="4"/>
      <c r="L52" s="189"/>
      <c r="U52" s="192"/>
    </row>
    <row r="53" spans="1:21" s="193" customFormat="1" ht="15" customHeight="1" hidden="1" outlineLevel="1">
      <c r="A53" s="197" t="s">
        <v>304</v>
      </c>
      <c r="B53" s="210">
        <f>IF(COUNT(H90:H95)&lt;6,"",B52^2)</f>
      </c>
      <c r="C53" s="211" t="s">
        <v>302</v>
      </c>
      <c r="D53" s="205" t="s">
        <v>299</v>
      </c>
      <c r="E53" s="203" t="e">
        <f>1/1000*2*SQRT(B53+B54+H52*(0*1000)^2+E51*(0*1000)^2+B28*(0*1000)^2+F22*(0*1000)^2)+B23*0</f>
        <v>#VALUE!</v>
      </c>
      <c r="F53" s="189" t="s">
        <v>0</v>
      </c>
      <c r="G53" s="194"/>
      <c r="H53" s="194"/>
      <c r="I53" s="189"/>
      <c r="J53" s="189"/>
      <c r="K53" s="4"/>
      <c r="L53" s="189"/>
      <c r="U53" s="192"/>
    </row>
    <row r="54" spans="1:21" s="193" customFormat="1" ht="15" customHeight="1" hidden="1" outlineLevel="1">
      <c r="A54" s="189" t="s">
        <v>303</v>
      </c>
      <c r="B54" s="210">
        <f>IF(ISBLANK(C13),"",1/6*C13^2)</f>
      </c>
      <c r="C54" s="211" t="s">
        <v>302</v>
      </c>
      <c r="D54" s="205" t="s">
        <v>298</v>
      </c>
      <c r="E54" s="189" t="e">
        <f>1/1000*2*SQRT(B53+B54+H52*(C12*1000)^2+E51*(C12*1000)^2+B28*(C12*1000)^2+F22*(C12*1000)^2)+D97*C12</f>
        <v>#VALUE!</v>
      </c>
      <c r="F54" s="189" t="s">
        <v>0</v>
      </c>
      <c r="G54" s="189"/>
      <c r="H54" s="189"/>
      <c r="I54" s="189"/>
      <c r="J54" s="189"/>
      <c r="K54" s="4"/>
      <c r="L54" s="189"/>
      <c r="U54" s="192"/>
    </row>
    <row r="55" spans="1:21" s="193" customFormat="1" ht="15" customHeight="1" hidden="1" outlineLevel="1">
      <c r="A55" s="213" t="s">
        <v>301</v>
      </c>
      <c r="B55" s="189"/>
      <c r="C55" s="214" t="s">
        <v>300</v>
      </c>
      <c r="D55" s="215" t="e">
        <f>FIXED(E53,2-1-INT(LOG(ABS(E53))),TRUE)&amp;" g + "&amp;FIXED((E54-E53)/C12,2-1-INT(LOG(ABS((E54-E53)/C12))),TRUE)&amp;" * W"</f>
        <v>#VALUE!</v>
      </c>
      <c r="E55" s="197"/>
      <c r="F55" s="189"/>
      <c r="G55" s="189"/>
      <c r="H55" s="189"/>
      <c r="I55" s="189"/>
      <c r="J55" s="189"/>
      <c r="K55" s="4"/>
      <c r="L55" s="189"/>
      <c r="U55" s="192"/>
    </row>
    <row r="56" spans="1:21" s="193" customFormat="1" ht="15" customHeight="1" hidden="1" outlineLevel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4"/>
      <c r="L56" s="189"/>
      <c r="U56" s="192"/>
    </row>
    <row r="57" spans="1:21" s="193" customFormat="1" ht="15" customHeight="1" hidden="1" outlineLevel="1">
      <c r="A57" s="189"/>
      <c r="B57" s="189"/>
      <c r="C57" s="189"/>
      <c r="D57" s="212"/>
      <c r="E57" s="189"/>
      <c r="F57" s="189"/>
      <c r="G57" s="189"/>
      <c r="H57" s="189"/>
      <c r="I57" s="189"/>
      <c r="J57" s="189"/>
      <c r="K57" s="4"/>
      <c r="L57" s="189"/>
      <c r="U57" s="192"/>
    </row>
    <row r="58" spans="1:21" s="193" customFormat="1" ht="15" customHeight="1" hidden="1" outlineLevel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4"/>
      <c r="L58" s="189"/>
      <c r="U58" s="189"/>
    </row>
    <row r="59" spans="1:24" s="193" customFormat="1" ht="15" customHeight="1" collapsed="1" thickBo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4"/>
      <c r="L59" s="189"/>
      <c r="M59" s="91"/>
      <c r="N59" s="91"/>
      <c r="O59" s="91"/>
      <c r="P59" s="91"/>
      <c r="Q59" s="90"/>
      <c r="R59" s="90"/>
      <c r="S59" s="91"/>
      <c r="T59" s="189"/>
      <c r="U59" s="189"/>
      <c r="V59" s="189"/>
      <c r="W59" s="189"/>
      <c r="X59" s="189"/>
    </row>
    <row r="60" spans="1:13" ht="4.5" customHeight="1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4"/>
      <c r="L60" s="189"/>
      <c r="M60" s="14"/>
    </row>
    <row r="61" spans="1:13" ht="12.75" customHeight="1">
      <c r="A61" s="18" t="s">
        <v>10</v>
      </c>
      <c r="B61" s="19" t="s">
        <v>13</v>
      </c>
      <c r="C61" s="218" t="str">
        <f>IF(ISNUMBER(E61),E61,IF(ISERROR(D55),"?",(1/1000*2*SQRT(B53+B54+H52*(0*1000)^2+E51*(0*1000)^2+B28*(0*1000)^2+F22*(0*1000)^2)+B23*0)))</f>
        <v>?</v>
      </c>
      <c r="D61" s="309">
        <f>IF(ISERROR(SUM(E100:E214)),"",IF(SUM(E100:E214)&gt;0,"Ergebnis zweigelhaft *",""))</f>
      </c>
      <c r="E61" s="89"/>
      <c r="F61" s="85" t="s">
        <v>232</v>
      </c>
      <c r="G61" s="17"/>
      <c r="I61" s="17"/>
      <c r="J61" s="17"/>
      <c r="K61" s="4"/>
      <c r="L61" s="189"/>
      <c r="M61" s="28" t="s">
        <v>149</v>
      </c>
    </row>
    <row r="62" spans="1:17" ht="12.75" customHeight="1">
      <c r="A62" s="52" t="s">
        <v>12</v>
      </c>
      <c r="B62" s="19" t="s">
        <v>14</v>
      </c>
      <c r="C62" s="219" t="str">
        <f>IF(ISNUMBER(E62),E62,IF(ISERROR(D55),"?",((1/1000*2*SQRT(B53+B54+H52*(C12*1000)^2+E51*(C12*1000)^2+B28*(C12*1000)^2+F22*(C12*1000)^2)+D97*C12)-(1/1000*2*SQRT(B53+B54+H52*(0*1000)^2+E51*(0*1000)^2+B28*(0*1000)^2+F22*(0*1000)^2)+B23*0))/C12))</f>
        <v>?</v>
      </c>
      <c r="D62" s="309"/>
      <c r="E62" s="89"/>
      <c r="F62" s="51" t="str">
        <f>IF(ISTEXT(M62),"10% : ","")</f>
        <v>10% : </v>
      </c>
      <c r="G62" s="20" t="str">
        <f>IF(ISBLANK(M62),"",IF(OR(ISTEXT(C61),ISTEXT(C62)),"?",IF(1000*100*C61/(10-100*C62)&lt;=0,"Aus der Gleichung nicht ermittelbar","Eine Mindestlast von "&amp;FIXED(1000*100*C61/(10-100*C62),2-1-INT(LOG(ABS(1000*100*C61/(10-100*C62)))),TRUE)&amp;" mg")))</f>
        <v>?</v>
      </c>
      <c r="I62" s="17"/>
      <c r="J62" s="310">
        <f>IF(ISERROR(SUM(E100:E214)),"",IF(SUM(E100:E214)&gt;0,"Ergebnis zweigelhaft *",""))</f>
      </c>
      <c r="K62" s="4"/>
      <c r="L62" s="189"/>
      <c r="M62" s="83" t="s">
        <v>147</v>
      </c>
      <c r="O62" s="11" t="s">
        <v>7</v>
      </c>
      <c r="Q62" s="3"/>
    </row>
    <row r="63" spans="1:18" ht="12.75" customHeight="1">
      <c r="A63" s="99">
        <f>IF(ISERROR(SUM(E100:E214)),"",IF(SUM(E100:E214)&gt;0,"Es wird eine unzureichende Justierung der Waage vermutet.",""))</f>
      </c>
      <c r="E63" s="82"/>
      <c r="F63" s="51" t="str">
        <f>IF(ISTEXT(M63),"1% : ","")</f>
        <v>1% : </v>
      </c>
      <c r="G63" s="20" t="str">
        <f>IF(ISBLANK(M63),"",IF(OR(ISTEXT(C61),ISTEXT(C62)),"?",IF(1000*100*C61/(1-100*C62)&lt;=0,"Aus der Gleichung nicht ermittelbar","Eine Mindestlast von "&amp;FIXED(1000*100*C61/(1-100*C62),2-1-INT(LOG(ABS(1000*100*C61/(1-100*C62)))),TRUE)&amp;" mg")))</f>
        <v>?</v>
      </c>
      <c r="J63" s="310"/>
      <c r="K63" s="4"/>
      <c r="L63" s="189"/>
      <c r="M63" s="83" t="s">
        <v>147</v>
      </c>
      <c r="O63" s="21" t="s">
        <v>6</v>
      </c>
      <c r="P63" s="293" t="s">
        <v>444</v>
      </c>
      <c r="Q63" s="293" t="s">
        <v>445</v>
      </c>
      <c r="R63" s="3"/>
    </row>
    <row r="64" spans="1:19" ht="12.75" customHeight="1">
      <c r="A64" s="93">
        <f>IF(ISERROR(SUM(E100:E214)),"",IF(SUM(E100:E214)&gt;0,"* Die Prüfergebnisse sind für eine Kalibrierung ungeeignet.",""))</f>
      </c>
      <c r="B64" s="9"/>
      <c r="C64" s="9"/>
      <c r="D64" s="9"/>
      <c r="F64" s="51" t="str">
        <f>IF(ISTEXT(M64),"0,1% : ","")</f>
        <v>0,1% : </v>
      </c>
      <c r="G64" s="20" t="str">
        <f>IF(ISBLANK(M64),"",IF(OR(ISTEXT(C61),ISTEXT(C62)),"?",IF(1000*100*C61/(0.1-100*C62)&lt;=0,"Aus der Gleichung nicht ermittelbar","Eine Mindestlast von "&amp;FIXED(1000*100*C61/(0.1-100*C62),2-1-INT(LOG(ABS(1000*100*C61/(0.1-100*C62)))),TRUE)&amp;" mg")))</f>
        <v>?</v>
      </c>
      <c r="H64" s="9"/>
      <c r="I64" s="9"/>
      <c r="J64" s="310"/>
      <c r="K64" s="4"/>
      <c r="L64" s="189"/>
      <c r="M64" s="84" t="s">
        <v>147</v>
      </c>
      <c r="O64" s="1"/>
      <c r="P64" s="81">
        <f>IF(OR(ISBLANK(O64),ISTEXT(C62)),"",ROUND((C62*O64+C61)*1000,2-1-INT(LOG(ABS((C62*O64+C61)*1000)))))</f>
      </c>
      <c r="Q64" s="22">
        <f>IF(OR(ISBLANK(O64),ISTEXT(C62)),"",IF((C62*O64+C61)/O64*100&lt;0.1,"&lt;  ± 0,1 %",(C62*O64+C61)/O64*100))</f>
      </c>
      <c r="R64" s="50"/>
      <c r="S64" s="291"/>
    </row>
    <row r="65" spans="1:18" ht="12.75">
      <c r="A65" s="5" t="s">
        <v>15</v>
      </c>
      <c r="E65" s="311" t="str">
        <f>IF(OR(ISBLANK(C12),ISTEXT(C12)),"Bitte die angegebene Höchstlast eingeben (siehe Kopfdaten). Anderenfalls erfolgt keine Diagrammanzeige",IF(OR(ISTEXT(C61),ISTEXT(C62)),"Bei unvollständiger Kalibriergleichung ist die Diagrammanzeige nicht möglich",""))</f>
        <v>Bitte die angegebene Höchstlast eingeben (siehe Kopfdaten). Anderenfalls erfolgt keine Diagrammanzeige</v>
      </c>
      <c r="F65" s="311"/>
      <c r="G65" s="311"/>
      <c r="H65" s="311"/>
      <c r="I65" s="311"/>
      <c r="K65" s="4"/>
      <c r="L65" s="189"/>
      <c r="Q65" s="3"/>
      <c r="R65" s="3"/>
    </row>
    <row r="66" spans="1:33" ht="15" customHeight="1">
      <c r="A66" s="31" t="s">
        <v>16</v>
      </c>
      <c r="C66" s="28"/>
      <c r="E66" s="311"/>
      <c r="F66" s="311"/>
      <c r="G66" s="311"/>
      <c r="H66" s="311"/>
      <c r="I66" s="311"/>
      <c r="K66" s="4"/>
      <c r="L66" s="189"/>
      <c r="P66" s="38"/>
      <c r="Q66" s="38"/>
      <c r="R66" s="39"/>
      <c r="S66" s="38"/>
      <c r="T66" s="40"/>
      <c r="U66" s="4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1:18" ht="6" customHeight="1">
      <c r="K67" s="4"/>
      <c r="L67" s="189"/>
      <c r="Q67" s="3"/>
      <c r="R67" s="3"/>
    </row>
    <row r="68" spans="11:18" ht="12.75" customHeight="1">
      <c r="K68" s="4"/>
      <c r="L68" s="189"/>
      <c r="Q68" s="292"/>
      <c r="R68" s="3"/>
    </row>
    <row r="69" spans="11:18" ht="12.75">
      <c r="K69" s="4"/>
      <c r="L69" s="189"/>
      <c r="Q69" s="3"/>
      <c r="R69" s="3"/>
    </row>
    <row r="70" spans="11:18" ht="12.75">
      <c r="K70" s="4"/>
      <c r="L70" s="189"/>
      <c r="Q70" s="3"/>
      <c r="R70" s="3"/>
    </row>
    <row r="71" spans="11:18" ht="12.75">
      <c r="K71" s="4"/>
      <c r="L71" s="189"/>
      <c r="Q71" s="3"/>
      <c r="R71" s="3"/>
    </row>
    <row r="72" spans="11:18" ht="12.75">
      <c r="K72" s="4"/>
      <c r="L72" s="189"/>
      <c r="Q72" s="3"/>
      <c r="R72" s="3"/>
    </row>
    <row r="73" spans="11:18" ht="12.75">
      <c r="K73" s="4"/>
      <c r="L73" s="189"/>
      <c r="Q73" s="3"/>
      <c r="R73" s="3"/>
    </row>
    <row r="74" spans="11:18" ht="12.75">
      <c r="K74" s="4"/>
      <c r="L74" s="189"/>
      <c r="Q74" s="3"/>
      <c r="R74" s="3"/>
    </row>
    <row r="75" spans="11:18" ht="12.75">
      <c r="K75" s="4"/>
      <c r="L75" s="189"/>
      <c r="Q75" s="3"/>
      <c r="R75" s="3"/>
    </row>
    <row r="76" spans="11:18" ht="12.75">
      <c r="K76" s="4"/>
      <c r="L76" s="189"/>
      <c r="Q76" s="3"/>
      <c r="R76" s="3"/>
    </row>
    <row r="77" spans="11:18" ht="12.75">
      <c r="K77" s="4"/>
      <c r="L77" s="189"/>
      <c r="Q77" s="3"/>
      <c r="R77" s="3"/>
    </row>
    <row r="78" spans="11:18" ht="12.75">
      <c r="K78" s="4"/>
      <c r="L78" s="189"/>
      <c r="Q78" s="3"/>
      <c r="R78" s="3"/>
    </row>
    <row r="79" spans="11:18" ht="12.75">
      <c r="K79" s="4"/>
      <c r="L79" s="189"/>
      <c r="Q79" s="3"/>
      <c r="R79" s="3"/>
    </row>
    <row r="80" spans="11:18" ht="9" customHeight="1">
      <c r="K80" s="4"/>
      <c r="L80" s="189"/>
      <c r="Q80" s="3"/>
      <c r="R80" s="3"/>
    </row>
    <row r="81" spans="1:18" ht="12.75">
      <c r="A81" s="5" t="s">
        <v>3</v>
      </c>
      <c r="K81" s="4"/>
      <c r="L81" s="189"/>
      <c r="Q81" s="3"/>
      <c r="R81" s="3"/>
    </row>
    <row r="82" spans="1:15" ht="1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4"/>
      <c r="L82" s="189"/>
      <c r="N82" s="34"/>
      <c r="O82" s="7"/>
    </row>
    <row r="83" spans="1:12" ht="1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4"/>
      <c r="L83" s="189"/>
    </row>
    <row r="84" spans="1:12" ht="3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189"/>
    </row>
    <row r="85" spans="1:12" ht="18" customHeight="1">
      <c r="A85" s="29"/>
      <c r="B85" s="29"/>
      <c r="C85" s="29"/>
      <c r="D85" s="29"/>
      <c r="E85" s="7"/>
      <c r="F85" s="23"/>
      <c r="G85" s="23"/>
      <c r="H85" s="23"/>
      <c r="I85" s="7"/>
      <c r="J85" s="7"/>
      <c r="K85" s="4"/>
      <c r="L85" s="189"/>
    </row>
    <row r="86" spans="1:12" ht="12.75" customHeight="1">
      <c r="A86" s="48" t="s">
        <v>29</v>
      </c>
      <c r="B86" s="9"/>
      <c r="C86" s="24"/>
      <c r="D86" s="24"/>
      <c r="E86" s="9"/>
      <c r="F86" s="9" t="s">
        <v>250</v>
      </c>
      <c r="G86" s="9"/>
      <c r="H86" s="9"/>
      <c r="I86" s="9"/>
      <c r="J86" s="9"/>
      <c r="K86" s="4"/>
      <c r="L86" s="189"/>
    </row>
    <row r="87" spans="1:12" ht="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89"/>
    </row>
    <row r="88" ht="12.75" customHeight="1">
      <c r="L88" s="189"/>
    </row>
    <row r="89" spans="1:12" ht="12.75" customHeight="1">
      <c r="A89" s="189" t="s">
        <v>331</v>
      </c>
      <c r="B89" s="189"/>
      <c r="C89" s="205" t="s">
        <v>330</v>
      </c>
      <c r="D89" s="205" t="s">
        <v>325</v>
      </c>
      <c r="E89" s="205" t="s">
        <v>324</v>
      </c>
      <c r="F89" s="205" t="s">
        <v>329</v>
      </c>
      <c r="G89" s="205" t="s">
        <v>328</v>
      </c>
      <c r="H89" s="252" t="s">
        <v>405</v>
      </c>
      <c r="I89" s="252"/>
      <c r="J89" s="252"/>
      <c r="L89" s="189"/>
    </row>
    <row r="90" spans="1:12" ht="12.75" customHeight="1">
      <c r="A90" s="189"/>
      <c r="B90" s="189"/>
      <c r="C90" s="189">
        <v>0</v>
      </c>
      <c r="D90" s="189" t="e">
        <f>(B21-B19)/B19</f>
        <v>#DIV/0!</v>
      </c>
      <c r="E90" s="189" t="e">
        <f aca="true" t="shared" si="0" ref="E90:E95">(D90-D$96)^2</f>
        <v>#DIV/0!</v>
      </c>
      <c r="F90" s="189">
        <f>ABS(G90)</f>
        <v>0</v>
      </c>
      <c r="G90" s="189">
        <f>(1*B45-B$43)</f>
        <v>0</v>
      </c>
      <c r="H90" s="255" t="str">
        <f aca="true" t="shared" si="1" ref="H90:H95">IF(B34&lt;&gt;"",1*B34,"?")</f>
        <v>?</v>
      </c>
      <c r="I90" s="256" t="str">
        <f>IF(H35&lt;&gt;"",1*H35,"?")</f>
        <v>?</v>
      </c>
      <c r="J90" s="257" t="str">
        <f>IF(B45&lt;&gt;"",1*B45,"?")</f>
        <v>?</v>
      </c>
      <c r="L90" s="189"/>
    </row>
    <row r="91" spans="1:12" ht="12.75" customHeight="1">
      <c r="A91" s="189">
        <f aca="true" t="shared" si="2" ref="A91:A96">1*B34</f>
        <v>0</v>
      </c>
      <c r="B91" s="189"/>
      <c r="C91" s="189">
        <v>1</v>
      </c>
      <c r="D91" s="189" t="e">
        <f>(H35-G35)/G35</f>
        <v>#DIV/0!</v>
      </c>
      <c r="E91" s="189" t="e">
        <f t="shared" si="0"/>
        <v>#DIV/0!</v>
      </c>
      <c r="F91" s="189">
        <f>ABS(G91)</f>
        <v>0</v>
      </c>
      <c r="G91" s="189">
        <f>(1*B46-B$43)</f>
        <v>0</v>
      </c>
      <c r="H91" s="258" t="str">
        <f t="shared" si="1"/>
        <v>?</v>
      </c>
      <c r="I91" s="259" t="str">
        <f>IF(H36&lt;&gt;"",1*H36,"?")</f>
        <v>?</v>
      </c>
      <c r="J91" s="260" t="str">
        <f>IF(B46&lt;&gt;"",1*B46,"?")</f>
        <v>?</v>
      </c>
      <c r="L91" s="189"/>
    </row>
    <row r="92" spans="1:12" ht="12.75" customHeight="1">
      <c r="A92" s="189">
        <f t="shared" si="2"/>
        <v>0</v>
      </c>
      <c r="B92" s="189"/>
      <c r="C92" s="189">
        <v>2</v>
      </c>
      <c r="D92" s="189" t="e">
        <f>(H36-G36)/G36</f>
        <v>#DIV/0!</v>
      </c>
      <c r="E92" s="189" t="e">
        <f t="shared" si="0"/>
        <v>#DIV/0!</v>
      </c>
      <c r="F92" s="189">
        <f>ABS(G92)</f>
        <v>0</v>
      </c>
      <c r="G92" s="189">
        <f>(1*B47-B$43)</f>
        <v>0</v>
      </c>
      <c r="H92" s="258" t="str">
        <f t="shared" si="1"/>
        <v>?</v>
      </c>
      <c r="I92" s="259" t="str">
        <f>IF(H37&lt;&gt;"",1*H37,"?")</f>
        <v>?</v>
      </c>
      <c r="J92" s="260" t="str">
        <f>IF(B47&lt;&gt;"",1*B47,"?")</f>
        <v>?</v>
      </c>
      <c r="L92" s="189"/>
    </row>
    <row r="93" spans="1:12" ht="12.75" customHeight="1">
      <c r="A93" s="189">
        <f t="shared" si="2"/>
        <v>0</v>
      </c>
      <c r="B93" s="189"/>
      <c r="C93" s="189">
        <v>3</v>
      </c>
      <c r="D93" s="189" t="e">
        <f>(H37-G37)/G37</f>
        <v>#DIV/0!</v>
      </c>
      <c r="E93" s="189" t="e">
        <f t="shared" si="0"/>
        <v>#DIV/0!</v>
      </c>
      <c r="F93" s="189">
        <f>ABS(G93)</f>
        <v>0</v>
      </c>
      <c r="G93" s="189">
        <f>(1*B48-B$43)</f>
        <v>0</v>
      </c>
      <c r="H93" s="258" t="str">
        <f t="shared" si="1"/>
        <v>?</v>
      </c>
      <c r="I93" s="259" t="str">
        <f>IF(H38&lt;&gt;"",1*H38,"?")</f>
        <v>?</v>
      </c>
      <c r="J93" s="260" t="str">
        <f>IF(B48&lt;&gt;"",1*B48,"?")</f>
        <v>?</v>
      </c>
      <c r="L93" s="189"/>
    </row>
    <row r="94" spans="1:12" ht="12.75" customHeight="1">
      <c r="A94" s="189">
        <f t="shared" si="2"/>
        <v>0</v>
      </c>
      <c r="B94" s="189"/>
      <c r="C94" s="189">
        <v>4</v>
      </c>
      <c r="D94" s="189" t="e">
        <f>(H38-G38)/G38</f>
        <v>#DIV/0!</v>
      </c>
      <c r="E94" s="189" t="e">
        <f t="shared" si="0"/>
        <v>#DIV/0!</v>
      </c>
      <c r="F94" s="189">
        <f>ABS(G94)</f>
        <v>0</v>
      </c>
      <c r="G94" s="189">
        <f>(1*B49-B$43)</f>
        <v>0</v>
      </c>
      <c r="H94" s="258" t="str">
        <f t="shared" si="1"/>
        <v>?</v>
      </c>
      <c r="I94" s="259" t="str">
        <f>IF(H39&lt;&gt;"",1*H39,"?")</f>
        <v>?</v>
      </c>
      <c r="J94" s="260" t="str">
        <f>IF(B49&lt;&gt;"",1*B49,"?")</f>
        <v>?</v>
      </c>
      <c r="L94" s="189"/>
    </row>
    <row r="95" spans="1:12" ht="12.75" customHeight="1">
      <c r="A95" s="189">
        <f t="shared" si="2"/>
        <v>0</v>
      </c>
      <c r="B95" s="189"/>
      <c r="C95" s="189">
        <v>5</v>
      </c>
      <c r="D95" s="189" t="e">
        <f>(H39-G39)/G39</f>
        <v>#DIV/0!</v>
      </c>
      <c r="E95" s="189" t="e">
        <f t="shared" si="0"/>
        <v>#DIV/0!</v>
      </c>
      <c r="F95" s="192"/>
      <c r="G95" s="192"/>
      <c r="H95" s="261" t="str">
        <f t="shared" si="1"/>
        <v>?</v>
      </c>
      <c r="I95" s="253" t="s">
        <v>150</v>
      </c>
      <c r="J95" s="254" t="s">
        <v>150</v>
      </c>
      <c r="L95" s="189"/>
    </row>
    <row r="96" spans="1:12" ht="12.75" customHeight="1">
      <c r="A96" s="189">
        <f t="shared" si="2"/>
        <v>0</v>
      </c>
      <c r="B96" s="189"/>
      <c r="C96" s="205" t="s">
        <v>306</v>
      </c>
      <c r="D96" s="189" t="e">
        <f>1/(COUNT(D91:D95)+1)*SUM(D90:D95)</f>
        <v>#DIV/0!</v>
      </c>
      <c r="E96" s="216" t="e">
        <f>IF(SUM(G35:G39)/COUNT(G35:G39)&lt;100,"Achtung: Gemäß DKD-R 7-1, Blatt 3, Seite 7 ist hier a0 anstatt a anwenden!","P≥100g")</f>
        <v>#DIV/0!</v>
      </c>
      <c r="F96" s="192"/>
      <c r="G96" s="192"/>
      <c r="L96" s="189"/>
    </row>
    <row r="97" spans="1:12" ht="12.75" customHeight="1">
      <c r="A97" s="189"/>
      <c r="B97" s="189"/>
      <c r="C97" s="205" t="e">
        <f>IF(SUM(G35:G39)/COUNT(G35:G39)&lt;100,"a0:","a:")</f>
        <v>#DIV/0!</v>
      </c>
      <c r="D97" s="189" t="e">
        <f>IF(SUM(G35:G39)/COUNT(G35:G39)&lt;100,B23,D96)</f>
        <v>#DIV/0!</v>
      </c>
      <c r="E97" s="189"/>
      <c r="F97" s="189"/>
      <c r="G97" s="189"/>
      <c r="L97" s="189"/>
    </row>
    <row r="98" ht="12.75" customHeight="1">
      <c r="L98" s="189"/>
    </row>
    <row r="99" spans="2:18" ht="12.75" customHeight="1">
      <c r="B99" s="36" t="s">
        <v>22</v>
      </c>
      <c r="C99" s="38"/>
      <c r="D99" s="38"/>
      <c r="E99" s="97" t="s">
        <v>248</v>
      </c>
      <c r="L99" s="189"/>
      <c r="Q99" s="3"/>
      <c r="R99" s="3"/>
    </row>
    <row r="100" spans="2:18" ht="12.75" customHeight="1">
      <c r="B100" s="42">
        <v>0.0001</v>
      </c>
      <c r="C100" s="43" t="e">
        <f aca="true" t="shared" si="3" ref="C100:C131">IF(OR(ISBLANK(B100),B100-0.2*B100&gt;$C$12),#N/A,B100)</f>
        <v>#N/A</v>
      </c>
      <c r="D100" s="44" t="e">
        <f aca="true" t="shared" si="4" ref="D100:D131">IF(OR(ISBLANK(B100),B100-0.2*B100&gt;$C$12,ISERROR($C$62),ISTEXT(C$61),ISTEXT(C$62)),#N/A,($C$62*B100+$C$61)/B100*100)</f>
        <v>#N/A</v>
      </c>
      <c r="E100" s="98">
        <f>IF(OR(ISERROR(D100),ISERROR(D101)),"",IF(OR(D100&lt;0,D100&lt;D101),1,0))</f>
      </c>
      <c r="N100" s="192"/>
      <c r="Q100" s="3"/>
      <c r="R100" s="3"/>
    </row>
    <row r="101" spans="2:18" ht="12.75" customHeight="1">
      <c r="B101" s="45">
        <f>B100*1.2</f>
        <v>0.00012</v>
      </c>
      <c r="C101" s="37" t="e">
        <f t="shared" si="3"/>
        <v>#N/A</v>
      </c>
      <c r="D101" s="46" t="e">
        <f t="shared" si="4"/>
        <v>#N/A</v>
      </c>
      <c r="E101" s="98">
        <f aca="true" t="shared" si="5" ref="E101:E164">IF(OR(ISERROR(D101),ISERROR(D102)),"",IF(OR(D101&lt;0,D101&lt;D102),1,0))</f>
      </c>
      <c r="N101" s="192"/>
      <c r="Q101" s="3"/>
      <c r="R101" s="3"/>
    </row>
    <row r="102" spans="2:18" ht="12.75" customHeight="1">
      <c r="B102" s="45">
        <f aca="true" t="shared" si="6" ref="B102:B165">B101*1.2</f>
        <v>0.000144</v>
      </c>
      <c r="C102" s="37" t="e">
        <f t="shared" si="3"/>
        <v>#N/A</v>
      </c>
      <c r="D102" s="46" t="e">
        <f t="shared" si="4"/>
        <v>#N/A</v>
      </c>
      <c r="E102" s="98">
        <f t="shared" si="5"/>
      </c>
      <c r="N102" s="192"/>
      <c r="Q102" s="3"/>
      <c r="R102" s="3"/>
    </row>
    <row r="103" spans="2:18" ht="12.75" customHeight="1">
      <c r="B103" s="45">
        <f t="shared" si="6"/>
        <v>0.0001728</v>
      </c>
      <c r="C103" s="37" t="e">
        <f t="shared" si="3"/>
        <v>#N/A</v>
      </c>
      <c r="D103" s="46" t="e">
        <f t="shared" si="4"/>
        <v>#N/A</v>
      </c>
      <c r="E103" s="98">
        <f t="shared" si="5"/>
      </c>
      <c r="N103" s="192"/>
      <c r="Q103" s="3"/>
      <c r="R103" s="3"/>
    </row>
    <row r="104" spans="2:18" ht="12.75" customHeight="1">
      <c r="B104" s="45">
        <f t="shared" si="6"/>
        <v>0.00020736</v>
      </c>
      <c r="C104" s="37" t="e">
        <f t="shared" si="3"/>
        <v>#N/A</v>
      </c>
      <c r="D104" s="46" t="e">
        <f t="shared" si="4"/>
        <v>#N/A</v>
      </c>
      <c r="E104" s="98">
        <f t="shared" si="5"/>
      </c>
      <c r="N104" s="192"/>
      <c r="Q104" s="3"/>
      <c r="R104" s="3"/>
    </row>
    <row r="105" spans="2:18" ht="12.75" customHeight="1">
      <c r="B105" s="45">
        <f t="shared" si="6"/>
        <v>0.000248832</v>
      </c>
      <c r="C105" s="37" t="e">
        <f t="shared" si="3"/>
        <v>#N/A</v>
      </c>
      <c r="D105" s="46" t="e">
        <f t="shared" si="4"/>
        <v>#N/A</v>
      </c>
      <c r="E105" s="98">
        <f t="shared" si="5"/>
      </c>
      <c r="N105" s="192"/>
      <c r="Q105" s="3"/>
      <c r="R105" s="3"/>
    </row>
    <row r="106" spans="2:18" ht="12.75" customHeight="1">
      <c r="B106" s="45">
        <f t="shared" si="6"/>
        <v>0.0002985984</v>
      </c>
      <c r="C106" s="37" t="e">
        <f t="shared" si="3"/>
        <v>#N/A</v>
      </c>
      <c r="D106" s="46" t="e">
        <f t="shared" si="4"/>
        <v>#N/A</v>
      </c>
      <c r="E106" s="98">
        <f t="shared" si="5"/>
      </c>
      <c r="N106" s="192"/>
      <c r="Q106" s="3"/>
      <c r="R106" s="3"/>
    </row>
    <row r="107" spans="2:18" ht="12.75" customHeight="1">
      <c r="B107" s="45">
        <f t="shared" si="6"/>
        <v>0.00035831808</v>
      </c>
      <c r="C107" s="37" t="e">
        <f t="shared" si="3"/>
        <v>#N/A</v>
      </c>
      <c r="D107" s="46" t="e">
        <f t="shared" si="4"/>
        <v>#N/A</v>
      </c>
      <c r="E107" s="98">
        <f t="shared" si="5"/>
      </c>
      <c r="N107" s="192"/>
      <c r="Q107" s="3"/>
      <c r="R107" s="3"/>
    </row>
    <row r="108" spans="2:18" ht="12.75" customHeight="1">
      <c r="B108" s="45">
        <f t="shared" si="6"/>
        <v>0.000429981696</v>
      </c>
      <c r="C108" s="37" t="e">
        <f t="shared" si="3"/>
        <v>#N/A</v>
      </c>
      <c r="D108" s="46" t="e">
        <f t="shared" si="4"/>
        <v>#N/A</v>
      </c>
      <c r="E108" s="98">
        <f t="shared" si="5"/>
      </c>
      <c r="N108" s="189"/>
      <c r="Q108" s="3"/>
      <c r="R108" s="3"/>
    </row>
    <row r="109" spans="2:18" ht="12.75" customHeight="1">
      <c r="B109" s="45">
        <f t="shared" si="6"/>
        <v>0.0005159780352</v>
      </c>
      <c r="C109" s="37" t="e">
        <f t="shared" si="3"/>
        <v>#N/A</v>
      </c>
      <c r="D109" s="46" t="e">
        <f t="shared" si="4"/>
        <v>#N/A</v>
      </c>
      <c r="E109" s="98">
        <f t="shared" si="5"/>
      </c>
      <c r="L109" s="189"/>
      <c r="Q109" s="3"/>
      <c r="R109" s="3"/>
    </row>
    <row r="110" spans="2:18" ht="12.75" customHeight="1">
      <c r="B110" s="45">
        <f t="shared" si="6"/>
        <v>0.00061917364224</v>
      </c>
      <c r="C110" s="37" t="e">
        <f t="shared" si="3"/>
        <v>#N/A</v>
      </c>
      <c r="D110" s="46" t="e">
        <f t="shared" si="4"/>
        <v>#N/A</v>
      </c>
      <c r="E110" s="98">
        <f t="shared" si="5"/>
      </c>
      <c r="L110" s="189"/>
      <c r="Q110" s="3"/>
      <c r="R110" s="3"/>
    </row>
    <row r="111" spans="2:18" ht="12.75" customHeight="1">
      <c r="B111" s="45">
        <f t="shared" si="6"/>
        <v>0.000743008370688</v>
      </c>
      <c r="C111" s="37" t="e">
        <f t="shared" si="3"/>
        <v>#N/A</v>
      </c>
      <c r="D111" s="46" t="e">
        <f t="shared" si="4"/>
        <v>#N/A</v>
      </c>
      <c r="E111" s="98">
        <f t="shared" si="5"/>
      </c>
      <c r="L111" s="189"/>
      <c r="Q111" s="3"/>
      <c r="R111" s="3"/>
    </row>
    <row r="112" spans="2:18" ht="12.75" customHeight="1">
      <c r="B112" s="45">
        <f t="shared" si="6"/>
        <v>0.0008916100448256</v>
      </c>
      <c r="C112" s="37" t="e">
        <f t="shared" si="3"/>
        <v>#N/A</v>
      </c>
      <c r="D112" s="46" t="e">
        <f t="shared" si="4"/>
        <v>#N/A</v>
      </c>
      <c r="E112" s="98">
        <f t="shared" si="5"/>
      </c>
      <c r="L112" s="189"/>
      <c r="Q112" s="3"/>
      <c r="R112" s="3"/>
    </row>
    <row r="113" spans="2:18" ht="12.75" customHeight="1">
      <c r="B113" s="45">
        <f t="shared" si="6"/>
        <v>0.00106993205379072</v>
      </c>
      <c r="C113" s="37" t="e">
        <f t="shared" si="3"/>
        <v>#N/A</v>
      </c>
      <c r="D113" s="46" t="e">
        <f t="shared" si="4"/>
        <v>#N/A</v>
      </c>
      <c r="E113" s="98">
        <f t="shared" si="5"/>
      </c>
      <c r="L113" s="189"/>
      <c r="Q113" s="3"/>
      <c r="R113" s="3"/>
    </row>
    <row r="114" spans="2:18" ht="12.75" customHeight="1">
      <c r="B114" s="45">
        <f t="shared" si="6"/>
        <v>0.0012839184645488638</v>
      </c>
      <c r="C114" s="37" t="e">
        <f t="shared" si="3"/>
        <v>#N/A</v>
      </c>
      <c r="D114" s="46" t="e">
        <f t="shared" si="4"/>
        <v>#N/A</v>
      </c>
      <c r="E114" s="98">
        <f t="shared" si="5"/>
      </c>
      <c r="L114" s="189"/>
      <c r="Q114" s="3"/>
      <c r="R114" s="3"/>
    </row>
    <row r="115" spans="2:18" ht="12.75" customHeight="1">
      <c r="B115" s="45">
        <f t="shared" si="6"/>
        <v>0.0015407021574586365</v>
      </c>
      <c r="C115" s="37" t="e">
        <f t="shared" si="3"/>
        <v>#N/A</v>
      </c>
      <c r="D115" s="46" t="e">
        <f t="shared" si="4"/>
        <v>#N/A</v>
      </c>
      <c r="E115" s="98">
        <f t="shared" si="5"/>
      </c>
      <c r="L115" s="189"/>
      <c r="Q115" s="3"/>
      <c r="R115" s="3"/>
    </row>
    <row r="116" spans="2:18" ht="12.75" customHeight="1">
      <c r="B116" s="45">
        <f t="shared" si="6"/>
        <v>0.0018488425889503638</v>
      </c>
      <c r="C116" s="37" t="e">
        <f t="shared" si="3"/>
        <v>#N/A</v>
      </c>
      <c r="D116" s="46" t="e">
        <f t="shared" si="4"/>
        <v>#N/A</v>
      </c>
      <c r="E116" s="98">
        <f t="shared" si="5"/>
      </c>
      <c r="L116" s="189"/>
      <c r="Q116" s="3"/>
      <c r="R116" s="3"/>
    </row>
    <row r="117" spans="2:18" ht="12.75" customHeight="1">
      <c r="B117" s="45">
        <f t="shared" si="6"/>
        <v>0.0022186111067404365</v>
      </c>
      <c r="C117" s="37" t="e">
        <f t="shared" si="3"/>
        <v>#N/A</v>
      </c>
      <c r="D117" s="46" t="e">
        <f t="shared" si="4"/>
        <v>#N/A</v>
      </c>
      <c r="E117" s="98">
        <f t="shared" si="5"/>
      </c>
      <c r="L117" s="189"/>
      <c r="Q117" s="3"/>
      <c r="R117" s="3"/>
    </row>
    <row r="118" spans="2:18" ht="12.75" customHeight="1">
      <c r="B118" s="45">
        <f t="shared" si="6"/>
        <v>0.0026623333280885236</v>
      </c>
      <c r="C118" s="37" t="e">
        <f t="shared" si="3"/>
        <v>#N/A</v>
      </c>
      <c r="D118" s="46" t="e">
        <f t="shared" si="4"/>
        <v>#N/A</v>
      </c>
      <c r="E118" s="98">
        <f t="shared" si="5"/>
      </c>
      <c r="L118" s="189"/>
      <c r="Q118" s="3"/>
      <c r="R118" s="3"/>
    </row>
    <row r="119" spans="2:18" ht="12.75" customHeight="1">
      <c r="B119" s="45">
        <f t="shared" si="6"/>
        <v>0.0031947999937062283</v>
      </c>
      <c r="C119" s="37" t="e">
        <f t="shared" si="3"/>
        <v>#N/A</v>
      </c>
      <c r="D119" s="46" t="e">
        <f t="shared" si="4"/>
        <v>#N/A</v>
      </c>
      <c r="E119" s="98">
        <f t="shared" si="5"/>
      </c>
      <c r="L119" s="189"/>
      <c r="Q119" s="3"/>
      <c r="R119" s="3"/>
    </row>
    <row r="120" spans="2:18" ht="12.75" customHeight="1">
      <c r="B120" s="45">
        <f t="shared" si="6"/>
        <v>0.003833759992447474</v>
      </c>
      <c r="C120" s="37" t="e">
        <f t="shared" si="3"/>
        <v>#N/A</v>
      </c>
      <c r="D120" s="46" t="e">
        <f t="shared" si="4"/>
        <v>#N/A</v>
      </c>
      <c r="E120" s="98">
        <f t="shared" si="5"/>
      </c>
      <c r="L120" s="189"/>
      <c r="Q120" s="3"/>
      <c r="R120" s="3"/>
    </row>
    <row r="121" spans="2:18" ht="12.75" customHeight="1">
      <c r="B121" s="45">
        <f t="shared" si="6"/>
        <v>0.004600511990936969</v>
      </c>
      <c r="C121" s="37" t="e">
        <f t="shared" si="3"/>
        <v>#N/A</v>
      </c>
      <c r="D121" s="46" t="e">
        <f t="shared" si="4"/>
        <v>#N/A</v>
      </c>
      <c r="E121" s="98">
        <f t="shared" si="5"/>
      </c>
      <c r="L121" s="189"/>
      <c r="Q121" s="3"/>
      <c r="R121" s="3"/>
    </row>
    <row r="122" spans="2:18" ht="12.75" customHeight="1">
      <c r="B122" s="45">
        <f t="shared" si="6"/>
        <v>0.005520614389124362</v>
      </c>
      <c r="C122" s="37" t="e">
        <f t="shared" si="3"/>
        <v>#N/A</v>
      </c>
      <c r="D122" s="46" t="e">
        <f t="shared" si="4"/>
        <v>#N/A</v>
      </c>
      <c r="E122" s="98">
        <f t="shared" si="5"/>
      </c>
      <c r="L122" s="189"/>
      <c r="Q122" s="3"/>
      <c r="R122" s="3"/>
    </row>
    <row r="123" spans="2:18" ht="12.75" customHeight="1">
      <c r="B123" s="45">
        <f t="shared" si="6"/>
        <v>0.006624737266949235</v>
      </c>
      <c r="C123" s="37" t="e">
        <f t="shared" si="3"/>
        <v>#N/A</v>
      </c>
      <c r="D123" s="46" t="e">
        <f t="shared" si="4"/>
        <v>#N/A</v>
      </c>
      <c r="E123" s="98">
        <f t="shared" si="5"/>
      </c>
      <c r="L123" s="189"/>
      <c r="Q123" s="3"/>
      <c r="R123" s="3"/>
    </row>
    <row r="124" spans="2:18" ht="12.75" customHeight="1">
      <c r="B124" s="45">
        <f t="shared" si="6"/>
        <v>0.007949684720339082</v>
      </c>
      <c r="C124" s="37" t="e">
        <f t="shared" si="3"/>
        <v>#N/A</v>
      </c>
      <c r="D124" s="46" t="e">
        <f t="shared" si="4"/>
        <v>#N/A</v>
      </c>
      <c r="E124" s="98">
        <f t="shared" si="5"/>
      </c>
      <c r="L124" s="189"/>
      <c r="Q124" s="3"/>
      <c r="R124" s="3"/>
    </row>
    <row r="125" spans="2:18" ht="12.75" customHeight="1">
      <c r="B125" s="45">
        <f t="shared" si="6"/>
        <v>0.009539621664406897</v>
      </c>
      <c r="C125" s="37" t="e">
        <f t="shared" si="3"/>
        <v>#N/A</v>
      </c>
      <c r="D125" s="46" t="e">
        <f t="shared" si="4"/>
        <v>#N/A</v>
      </c>
      <c r="E125" s="98">
        <f t="shared" si="5"/>
      </c>
      <c r="L125" s="189"/>
      <c r="Q125" s="3"/>
      <c r="R125" s="3"/>
    </row>
    <row r="126" spans="2:18" ht="12.75" customHeight="1">
      <c r="B126" s="45">
        <f t="shared" si="6"/>
        <v>0.011447545997288276</v>
      </c>
      <c r="C126" s="37" t="e">
        <f t="shared" si="3"/>
        <v>#N/A</v>
      </c>
      <c r="D126" s="46" t="e">
        <f t="shared" si="4"/>
        <v>#N/A</v>
      </c>
      <c r="E126" s="98">
        <f t="shared" si="5"/>
      </c>
      <c r="L126" s="189"/>
      <c r="Q126" s="3"/>
      <c r="R126" s="3"/>
    </row>
    <row r="127" spans="2:18" ht="12.75" customHeight="1">
      <c r="B127" s="45">
        <f t="shared" si="6"/>
        <v>0.013737055196745932</v>
      </c>
      <c r="C127" s="37" t="e">
        <f t="shared" si="3"/>
        <v>#N/A</v>
      </c>
      <c r="D127" s="46" t="e">
        <f t="shared" si="4"/>
        <v>#N/A</v>
      </c>
      <c r="E127" s="98">
        <f t="shared" si="5"/>
      </c>
      <c r="L127" s="189"/>
      <c r="Q127" s="3"/>
      <c r="R127" s="3"/>
    </row>
    <row r="128" spans="2:18" ht="12.75" customHeight="1">
      <c r="B128" s="45">
        <f t="shared" si="6"/>
        <v>0.01648446623609512</v>
      </c>
      <c r="C128" s="37" t="e">
        <f t="shared" si="3"/>
        <v>#N/A</v>
      </c>
      <c r="D128" s="46" t="e">
        <f t="shared" si="4"/>
        <v>#N/A</v>
      </c>
      <c r="E128" s="98">
        <f t="shared" si="5"/>
      </c>
      <c r="L128" s="189"/>
      <c r="Q128" s="3"/>
      <c r="R128" s="3"/>
    </row>
    <row r="129" spans="2:18" ht="12.75" customHeight="1">
      <c r="B129" s="45">
        <f t="shared" si="6"/>
        <v>0.01978135948331414</v>
      </c>
      <c r="C129" s="37" t="e">
        <f t="shared" si="3"/>
        <v>#N/A</v>
      </c>
      <c r="D129" s="46" t="e">
        <f t="shared" si="4"/>
        <v>#N/A</v>
      </c>
      <c r="E129" s="98">
        <f t="shared" si="5"/>
      </c>
      <c r="L129" s="189"/>
      <c r="Q129" s="3"/>
      <c r="R129" s="3"/>
    </row>
    <row r="130" spans="2:18" ht="12.75" customHeight="1">
      <c r="B130" s="45">
        <f t="shared" si="6"/>
        <v>0.02373763137997697</v>
      </c>
      <c r="C130" s="37" t="e">
        <f t="shared" si="3"/>
        <v>#N/A</v>
      </c>
      <c r="D130" s="46" t="e">
        <f t="shared" si="4"/>
        <v>#N/A</v>
      </c>
      <c r="E130" s="98">
        <f t="shared" si="5"/>
      </c>
      <c r="L130" s="189"/>
      <c r="Q130" s="3"/>
      <c r="R130" s="3"/>
    </row>
    <row r="131" spans="2:18" ht="12.75" customHeight="1">
      <c r="B131" s="45">
        <f t="shared" si="6"/>
        <v>0.02848515765597236</v>
      </c>
      <c r="C131" s="37" t="e">
        <f t="shared" si="3"/>
        <v>#N/A</v>
      </c>
      <c r="D131" s="46" t="e">
        <f t="shared" si="4"/>
        <v>#N/A</v>
      </c>
      <c r="E131" s="98">
        <f t="shared" si="5"/>
      </c>
      <c r="L131" s="189"/>
      <c r="Q131" s="3"/>
      <c r="R131" s="3"/>
    </row>
    <row r="132" spans="2:18" ht="12.75" customHeight="1">
      <c r="B132" s="45">
        <f t="shared" si="6"/>
        <v>0.03418218918716683</v>
      </c>
      <c r="C132" s="37" t="e">
        <f aca="true" t="shared" si="7" ref="C132:C163">IF(OR(ISBLANK(B132),B132-0.2*B132&gt;$C$12),#N/A,B132)</f>
        <v>#N/A</v>
      </c>
      <c r="D132" s="46" t="e">
        <f aca="true" t="shared" si="8" ref="D132:D163">IF(OR(ISBLANK(B132),B132-0.2*B132&gt;$C$12,ISERROR($C$62),ISTEXT(C$61),ISTEXT(C$62)),#N/A,($C$62*B132+$C$61)/B132*100)</f>
        <v>#N/A</v>
      </c>
      <c r="E132" s="98">
        <f t="shared" si="5"/>
      </c>
      <c r="L132" s="189"/>
      <c r="Q132" s="3"/>
      <c r="R132" s="3"/>
    </row>
    <row r="133" spans="2:18" ht="12.75" customHeight="1">
      <c r="B133" s="45">
        <f t="shared" si="6"/>
        <v>0.0410186270246002</v>
      </c>
      <c r="C133" s="37" t="e">
        <f t="shared" si="7"/>
        <v>#N/A</v>
      </c>
      <c r="D133" s="46" t="e">
        <f t="shared" si="8"/>
        <v>#N/A</v>
      </c>
      <c r="E133" s="98">
        <f t="shared" si="5"/>
      </c>
      <c r="L133" s="189"/>
      <c r="Q133" s="3"/>
      <c r="R133" s="3"/>
    </row>
    <row r="134" spans="2:18" ht="12.75" customHeight="1">
      <c r="B134" s="45">
        <f t="shared" si="6"/>
        <v>0.049222352429520236</v>
      </c>
      <c r="C134" s="37" t="e">
        <f t="shared" si="7"/>
        <v>#N/A</v>
      </c>
      <c r="D134" s="46" t="e">
        <f t="shared" si="8"/>
        <v>#N/A</v>
      </c>
      <c r="E134" s="98">
        <f t="shared" si="5"/>
      </c>
      <c r="L134" s="189"/>
      <c r="Q134" s="3"/>
      <c r="R134" s="3"/>
    </row>
    <row r="135" spans="2:18" ht="12.75" customHeight="1">
      <c r="B135" s="45">
        <f t="shared" si="6"/>
        <v>0.05906682291542428</v>
      </c>
      <c r="C135" s="37" t="e">
        <f t="shared" si="7"/>
        <v>#N/A</v>
      </c>
      <c r="D135" s="46" t="e">
        <f t="shared" si="8"/>
        <v>#N/A</v>
      </c>
      <c r="E135" s="98">
        <f t="shared" si="5"/>
      </c>
      <c r="L135" s="189"/>
      <c r="Q135" s="3"/>
      <c r="R135" s="3"/>
    </row>
    <row r="136" spans="2:18" ht="12.75" customHeight="1">
      <c r="B136" s="45">
        <f t="shared" si="6"/>
        <v>0.07088018749850913</v>
      </c>
      <c r="C136" s="37" t="e">
        <f t="shared" si="7"/>
        <v>#N/A</v>
      </c>
      <c r="D136" s="46" t="e">
        <f t="shared" si="8"/>
        <v>#N/A</v>
      </c>
      <c r="E136" s="98">
        <f t="shared" si="5"/>
      </c>
      <c r="L136" s="189"/>
      <c r="Q136" s="3"/>
      <c r="R136" s="3"/>
    </row>
    <row r="137" spans="2:18" ht="12.75" customHeight="1">
      <c r="B137" s="45">
        <f t="shared" si="6"/>
        <v>0.08505622499821096</v>
      </c>
      <c r="C137" s="37" t="e">
        <f t="shared" si="7"/>
        <v>#N/A</v>
      </c>
      <c r="D137" s="46" t="e">
        <f t="shared" si="8"/>
        <v>#N/A</v>
      </c>
      <c r="E137" s="98">
        <f t="shared" si="5"/>
      </c>
      <c r="L137" s="189"/>
      <c r="Q137" s="3"/>
      <c r="R137" s="3"/>
    </row>
    <row r="138" spans="2:18" ht="12.75" customHeight="1">
      <c r="B138" s="45">
        <f t="shared" si="6"/>
        <v>0.10206746999785314</v>
      </c>
      <c r="C138" s="37" t="e">
        <f t="shared" si="7"/>
        <v>#N/A</v>
      </c>
      <c r="D138" s="46" t="e">
        <f t="shared" si="8"/>
        <v>#N/A</v>
      </c>
      <c r="E138" s="98">
        <f t="shared" si="5"/>
      </c>
      <c r="L138" s="189"/>
      <c r="Q138" s="3"/>
      <c r="R138" s="3"/>
    </row>
    <row r="139" spans="2:18" ht="12.75" customHeight="1">
      <c r="B139" s="45">
        <f t="shared" si="6"/>
        <v>0.12248096399742377</v>
      </c>
      <c r="C139" s="37" t="e">
        <f t="shared" si="7"/>
        <v>#N/A</v>
      </c>
      <c r="D139" s="46" t="e">
        <f t="shared" si="8"/>
        <v>#N/A</v>
      </c>
      <c r="E139" s="98">
        <f t="shared" si="5"/>
      </c>
      <c r="L139" s="189"/>
      <c r="Q139" s="3"/>
      <c r="R139" s="3"/>
    </row>
    <row r="140" spans="2:18" ht="12.75" customHeight="1">
      <c r="B140" s="45">
        <f t="shared" si="6"/>
        <v>0.1469771567969085</v>
      </c>
      <c r="C140" s="37" t="e">
        <f t="shared" si="7"/>
        <v>#N/A</v>
      </c>
      <c r="D140" s="46" t="e">
        <f t="shared" si="8"/>
        <v>#N/A</v>
      </c>
      <c r="E140" s="98">
        <f t="shared" si="5"/>
      </c>
      <c r="L140" s="189"/>
      <c r="Q140" s="3"/>
      <c r="R140" s="3"/>
    </row>
    <row r="141" spans="2:18" ht="12.75" customHeight="1">
      <c r="B141" s="45">
        <f t="shared" si="6"/>
        <v>0.1763725881562902</v>
      </c>
      <c r="C141" s="37" t="e">
        <f t="shared" si="7"/>
        <v>#N/A</v>
      </c>
      <c r="D141" s="46" t="e">
        <f t="shared" si="8"/>
        <v>#N/A</v>
      </c>
      <c r="E141" s="98">
        <f t="shared" si="5"/>
      </c>
      <c r="L141" s="189"/>
      <c r="Q141" s="3"/>
      <c r="R141" s="3"/>
    </row>
    <row r="142" spans="2:18" ht="12.75" customHeight="1">
      <c r="B142" s="45">
        <f t="shared" si="6"/>
        <v>0.21164710578754822</v>
      </c>
      <c r="C142" s="37" t="e">
        <f t="shared" si="7"/>
        <v>#N/A</v>
      </c>
      <c r="D142" s="46" t="e">
        <f t="shared" si="8"/>
        <v>#N/A</v>
      </c>
      <c r="E142" s="98">
        <f t="shared" si="5"/>
      </c>
      <c r="L142" s="189"/>
      <c r="Q142" s="3"/>
      <c r="R142" s="3"/>
    </row>
    <row r="143" spans="2:18" ht="12.75" customHeight="1">
      <c r="B143" s="45">
        <f t="shared" si="6"/>
        <v>0.25397652694505785</v>
      </c>
      <c r="C143" s="37" t="e">
        <f t="shared" si="7"/>
        <v>#N/A</v>
      </c>
      <c r="D143" s="46" t="e">
        <f t="shared" si="8"/>
        <v>#N/A</v>
      </c>
      <c r="E143" s="98">
        <f t="shared" si="5"/>
      </c>
      <c r="L143" s="189"/>
      <c r="Q143" s="3"/>
      <c r="R143" s="3"/>
    </row>
    <row r="144" spans="2:18" ht="12.75" customHeight="1">
      <c r="B144" s="45">
        <f t="shared" si="6"/>
        <v>0.3047718323340694</v>
      </c>
      <c r="C144" s="37" t="e">
        <f t="shared" si="7"/>
        <v>#N/A</v>
      </c>
      <c r="D144" s="46" t="e">
        <f t="shared" si="8"/>
        <v>#N/A</v>
      </c>
      <c r="E144" s="98">
        <f t="shared" si="5"/>
      </c>
      <c r="L144" s="189"/>
      <c r="Q144" s="3"/>
      <c r="R144" s="3"/>
    </row>
    <row r="145" spans="2:18" ht="12.75" customHeight="1">
      <c r="B145" s="45">
        <f t="shared" si="6"/>
        <v>0.36572619880088325</v>
      </c>
      <c r="C145" s="37" t="e">
        <f t="shared" si="7"/>
        <v>#N/A</v>
      </c>
      <c r="D145" s="46" t="e">
        <f t="shared" si="8"/>
        <v>#N/A</v>
      </c>
      <c r="E145" s="98">
        <f t="shared" si="5"/>
      </c>
      <c r="L145" s="189"/>
      <c r="Q145" s="3"/>
      <c r="R145" s="3"/>
    </row>
    <row r="146" spans="2:18" ht="12.75" customHeight="1">
      <c r="B146" s="45">
        <f t="shared" si="6"/>
        <v>0.43887143856105987</v>
      </c>
      <c r="C146" s="37" t="e">
        <f t="shared" si="7"/>
        <v>#N/A</v>
      </c>
      <c r="D146" s="46" t="e">
        <f t="shared" si="8"/>
        <v>#N/A</v>
      </c>
      <c r="E146" s="98">
        <f t="shared" si="5"/>
      </c>
      <c r="L146" s="189"/>
      <c r="Q146" s="3"/>
      <c r="R146" s="3"/>
    </row>
    <row r="147" spans="2:18" ht="12.75" customHeight="1">
      <c r="B147" s="45">
        <f t="shared" si="6"/>
        <v>0.5266457262732718</v>
      </c>
      <c r="C147" s="37" t="e">
        <f t="shared" si="7"/>
        <v>#N/A</v>
      </c>
      <c r="D147" s="46" t="e">
        <f t="shared" si="8"/>
        <v>#N/A</v>
      </c>
      <c r="E147" s="98">
        <f t="shared" si="5"/>
      </c>
      <c r="L147" s="189"/>
      <c r="Q147" s="3"/>
      <c r="R147" s="3"/>
    </row>
    <row r="148" spans="2:18" ht="12.75" customHeight="1">
      <c r="B148" s="45">
        <f t="shared" si="6"/>
        <v>0.6319748715279261</v>
      </c>
      <c r="C148" s="37" t="e">
        <f t="shared" si="7"/>
        <v>#N/A</v>
      </c>
      <c r="D148" s="46" t="e">
        <f t="shared" si="8"/>
        <v>#N/A</v>
      </c>
      <c r="E148" s="98">
        <f t="shared" si="5"/>
      </c>
      <c r="L148" s="189"/>
      <c r="Q148" s="3"/>
      <c r="R148" s="3"/>
    </row>
    <row r="149" spans="2:18" ht="12.75" customHeight="1">
      <c r="B149" s="45">
        <f t="shared" si="6"/>
        <v>0.7583698458335113</v>
      </c>
      <c r="C149" s="37" t="e">
        <f t="shared" si="7"/>
        <v>#N/A</v>
      </c>
      <c r="D149" s="46" t="e">
        <f t="shared" si="8"/>
        <v>#N/A</v>
      </c>
      <c r="E149" s="98">
        <f t="shared" si="5"/>
      </c>
      <c r="L149" s="189"/>
      <c r="Q149" s="3"/>
      <c r="R149" s="3"/>
    </row>
    <row r="150" spans="2:18" ht="12.75" customHeight="1">
      <c r="B150" s="45">
        <f t="shared" si="6"/>
        <v>0.9100438150002135</v>
      </c>
      <c r="C150" s="37" t="e">
        <f t="shared" si="7"/>
        <v>#N/A</v>
      </c>
      <c r="D150" s="46" t="e">
        <f t="shared" si="8"/>
        <v>#N/A</v>
      </c>
      <c r="E150" s="98">
        <f t="shared" si="5"/>
      </c>
      <c r="L150" s="189"/>
      <c r="Q150" s="3"/>
      <c r="R150" s="3"/>
    </row>
    <row r="151" spans="2:18" ht="12.75" customHeight="1">
      <c r="B151" s="45">
        <f t="shared" si="6"/>
        <v>1.0920525780002561</v>
      </c>
      <c r="C151" s="37" t="e">
        <f t="shared" si="7"/>
        <v>#N/A</v>
      </c>
      <c r="D151" s="46" t="e">
        <f t="shared" si="8"/>
        <v>#N/A</v>
      </c>
      <c r="E151" s="98">
        <f t="shared" si="5"/>
      </c>
      <c r="L151" s="189"/>
      <c r="Q151" s="3"/>
      <c r="R151" s="3"/>
    </row>
    <row r="152" spans="2:18" ht="12.75" customHeight="1">
      <c r="B152" s="45">
        <f t="shared" si="6"/>
        <v>1.3104630936003072</v>
      </c>
      <c r="C152" s="37" t="e">
        <f t="shared" si="7"/>
        <v>#N/A</v>
      </c>
      <c r="D152" s="46" t="e">
        <f t="shared" si="8"/>
        <v>#N/A</v>
      </c>
      <c r="E152" s="98">
        <f t="shared" si="5"/>
      </c>
      <c r="L152" s="189"/>
      <c r="Q152" s="3"/>
      <c r="R152" s="3"/>
    </row>
    <row r="153" spans="2:18" ht="12.75" customHeight="1">
      <c r="B153" s="45">
        <f t="shared" si="6"/>
        <v>1.5725557123203686</v>
      </c>
      <c r="C153" s="37" t="e">
        <f t="shared" si="7"/>
        <v>#N/A</v>
      </c>
      <c r="D153" s="46" t="e">
        <f t="shared" si="8"/>
        <v>#N/A</v>
      </c>
      <c r="E153" s="98">
        <f t="shared" si="5"/>
      </c>
      <c r="L153" s="189"/>
      <c r="Q153" s="3"/>
      <c r="R153" s="3"/>
    </row>
    <row r="154" spans="2:18" ht="12.75" customHeight="1">
      <c r="B154" s="45">
        <f t="shared" si="6"/>
        <v>1.8870668547844422</v>
      </c>
      <c r="C154" s="37" t="e">
        <f t="shared" si="7"/>
        <v>#N/A</v>
      </c>
      <c r="D154" s="46" t="e">
        <f t="shared" si="8"/>
        <v>#N/A</v>
      </c>
      <c r="E154" s="98">
        <f t="shared" si="5"/>
      </c>
      <c r="L154" s="189"/>
      <c r="Q154" s="3"/>
      <c r="R154" s="3"/>
    </row>
    <row r="155" spans="2:18" ht="12.75" customHeight="1">
      <c r="B155" s="45">
        <f t="shared" si="6"/>
        <v>2.264480225741331</v>
      </c>
      <c r="C155" s="37" t="e">
        <f t="shared" si="7"/>
        <v>#N/A</v>
      </c>
      <c r="D155" s="46" t="e">
        <f t="shared" si="8"/>
        <v>#N/A</v>
      </c>
      <c r="E155" s="98">
        <f t="shared" si="5"/>
      </c>
      <c r="L155" s="189"/>
      <c r="Q155" s="3"/>
      <c r="R155" s="3"/>
    </row>
    <row r="156" spans="2:18" ht="12.75" customHeight="1">
      <c r="B156" s="45">
        <f t="shared" si="6"/>
        <v>2.7173762708895968</v>
      </c>
      <c r="C156" s="37" t="e">
        <f t="shared" si="7"/>
        <v>#N/A</v>
      </c>
      <c r="D156" s="46" t="e">
        <f t="shared" si="8"/>
        <v>#N/A</v>
      </c>
      <c r="E156" s="98">
        <f t="shared" si="5"/>
      </c>
      <c r="L156" s="189"/>
      <c r="Q156" s="3"/>
      <c r="R156" s="3"/>
    </row>
    <row r="157" spans="2:18" ht="12.75" customHeight="1">
      <c r="B157" s="45">
        <f t="shared" si="6"/>
        <v>3.260851525067516</v>
      </c>
      <c r="C157" s="37" t="e">
        <f t="shared" si="7"/>
        <v>#N/A</v>
      </c>
      <c r="D157" s="46" t="e">
        <f t="shared" si="8"/>
        <v>#N/A</v>
      </c>
      <c r="E157" s="98">
        <f t="shared" si="5"/>
      </c>
      <c r="L157" s="189"/>
      <c r="Q157" s="3"/>
      <c r="R157" s="3"/>
    </row>
    <row r="158" spans="2:18" ht="12.75" customHeight="1">
      <c r="B158" s="45">
        <f t="shared" si="6"/>
        <v>3.9130218300810187</v>
      </c>
      <c r="C158" s="37" t="e">
        <f t="shared" si="7"/>
        <v>#N/A</v>
      </c>
      <c r="D158" s="46" t="e">
        <f t="shared" si="8"/>
        <v>#N/A</v>
      </c>
      <c r="E158" s="98">
        <f t="shared" si="5"/>
      </c>
      <c r="L158" s="189"/>
      <c r="Q158" s="3"/>
      <c r="R158" s="3"/>
    </row>
    <row r="159" spans="2:18" ht="12.75" customHeight="1">
      <c r="B159" s="45">
        <f t="shared" si="6"/>
        <v>4.695626196097222</v>
      </c>
      <c r="C159" s="37" t="e">
        <f t="shared" si="7"/>
        <v>#N/A</v>
      </c>
      <c r="D159" s="46" t="e">
        <f t="shared" si="8"/>
        <v>#N/A</v>
      </c>
      <c r="E159" s="98">
        <f t="shared" si="5"/>
      </c>
      <c r="L159" s="189"/>
      <c r="Q159" s="3"/>
      <c r="R159" s="3"/>
    </row>
    <row r="160" spans="2:18" ht="12.75" customHeight="1">
      <c r="B160" s="45">
        <f t="shared" si="6"/>
        <v>5.634751435316666</v>
      </c>
      <c r="C160" s="37" t="e">
        <f t="shared" si="7"/>
        <v>#N/A</v>
      </c>
      <c r="D160" s="46" t="e">
        <f t="shared" si="8"/>
        <v>#N/A</v>
      </c>
      <c r="E160" s="98">
        <f t="shared" si="5"/>
      </c>
      <c r="L160" s="189"/>
      <c r="Q160" s="3"/>
      <c r="R160" s="3"/>
    </row>
    <row r="161" spans="2:18" ht="12.75" customHeight="1">
      <c r="B161" s="45">
        <f t="shared" si="6"/>
        <v>6.761701722379999</v>
      </c>
      <c r="C161" s="37" t="e">
        <f t="shared" si="7"/>
        <v>#N/A</v>
      </c>
      <c r="D161" s="46" t="e">
        <f t="shared" si="8"/>
        <v>#N/A</v>
      </c>
      <c r="E161" s="98">
        <f t="shared" si="5"/>
      </c>
      <c r="L161" s="189"/>
      <c r="Q161" s="3"/>
      <c r="R161" s="3"/>
    </row>
    <row r="162" spans="2:18" ht="12.75" customHeight="1">
      <c r="B162" s="45">
        <f t="shared" si="6"/>
        <v>8.114042066855998</v>
      </c>
      <c r="C162" s="37" t="e">
        <f t="shared" si="7"/>
        <v>#N/A</v>
      </c>
      <c r="D162" s="46" t="e">
        <f t="shared" si="8"/>
        <v>#N/A</v>
      </c>
      <c r="E162" s="98">
        <f t="shared" si="5"/>
      </c>
      <c r="L162" s="189"/>
      <c r="Q162" s="3"/>
      <c r="R162" s="3"/>
    </row>
    <row r="163" spans="2:18" ht="12.75" customHeight="1">
      <c r="B163" s="45">
        <f t="shared" si="6"/>
        <v>9.736850480227197</v>
      </c>
      <c r="C163" s="37" t="e">
        <f t="shared" si="7"/>
        <v>#N/A</v>
      </c>
      <c r="D163" s="46" t="e">
        <f t="shared" si="8"/>
        <v>#N/A</v>
      </c>
      <c r="E163" s="98">
        <f t="shared" si="5"/>
      </c>
      <c r="L163" s="189"/>
      <c r="Q163" s="3"/>
      <c r="R163" s="3"/>
    </row>
    <row r="164" spans="2:18" ht="12.75" customHeight="1">
      <c r="B164" s="45">
        <f t="shared" si="6"/>
        <v>11.684220576272637</v>
      </c>
      <c r="C164" s="37" t="e">
        <f aca="true" t="shared" si="9" ref="C164:C195">IF(OR(ISBLANK(B164),B164-0.2*B164&gt;$C$12),#N/A,B164)</f>
        <v>#N/A</v>
      </c>
      <c r="D164" s="46" t="e">
        <f aca="true" t="shared" si="10" ref="D164:D195">IF(OR(ISBLANK(B164),B164-0.2*B164&gt;$C$12,ISERROR($C$62),ISTEXT(C$61),ISTEXT(C$62)),#N/A,($C$62*B164+$C$61)/B164*100)</f>
        <v>#N/A</v>
      </c>
      <c r="E164" s="98">
        <f t="shared" si="5"/>
      </c>
      <c r="L164" s="189"/>
      <c r="Q164" s="3"/>
      <c r="R164" s="3"/>
    </row>
    <row r="165" spans="2:18" ht="12.75" customHeight="1">
      <c r="B165" s="45">
        <f t="shared" si="6"/>
        <v>14.021064691527164</v>
      </c>
      <c r="C165" s="37" t="e">
        <f t="shared" si="9"/>
        <v>#N/A</v>
      </c>
      <c r="D165" s="46" t="e">
        <f t="shared" si="10"/>
        <v>#N/A</v>
      </c>
      <c r="E165" s="98">
        <f aca="true" t="shared" si="11" ref="E165:E213">IF(OR(ISERROR(D165),ISERROR(D166)),"",IF(OR(D165&lt;0,D165&lt;D166),1,0))</f>
      </c>
      <c r="L165" s="189"/>
      <c r="Q165" s="3"/>
      <c r="R165" s="3"/>
    </row>
    <row r="166" spans="2:18" ht="12.75" customHeight="1">
      <c r="B166" s="45">
        <f aca="true" t="shared" si="12" ref="B166:B210">B165*1.2</f>
        <v>16.825277629832595</v>
      </c>
      <c r="C166" s="37" t="e">
        <f t="shared" si="9"/>
        <v>#N/A</v>
      </c>
      <c r="D166" s="46" t="e">
        <f t="shared" si="10"/>
        <v>#N/A</v>
      </c>
      <c r="E166" s="98">
        <f t="shared" si="11"/>
      </c>
      <c r="L166" s="189"/>
      <c r="Q166" s="3"/>
      <c r="R166" s="3"/>
    </row>
    <row r="167" spans="2:18" ht="12.75" customHeight="1">
      <c r="B167" s="45">
        <f t="shared" si="12"/>
        <v>20.190333155799113</v>
      </c>
      <c r="C167" s="37" t="e">
        <f t="shared" si="9"/>
        <v>#N/A</v>
      </c>
      <c r="D167" s="46" t="e">
        <f t="shared" si="10"/>
        <v>#N/A</v>
      </c>
      <c r="E167" s="98">
        <f t="shared" si="11"/>
      </c>
      <c r="L167" s="189"/>
      <c r="Q167" s="3"/>
      <c r="R167" s="3"/>
    </row>
    <row r="168" spans="2:18" ht="12.75" customHeight="1">
      <c r="B168" s="45">
        <f t="shared" si="12"/>
        <v>24.228399786958935</v>
      </c>
      <c r="C168" s="37" t="e">
        <f t="shared" si="9"/>
        <v>#N/A</v>
      </c>
      <c r="D168" s="46" t="e">
        <f t="shared" si="10"/>
        <v>#N/A</v>
      </c>
      <c r="E168" s="98">
        <f t="shared" si="11"/>
      </c>
      <c r="L168" s="189"/>
      <c r="Q168" s="3"/>
      <c r="R168" s="3"/>
    </row>
    <row r="169" spans="2:18" ht="12.75" customHeight="1">
      <c r="B169" s="45">
        <f t="shared" si="12"/>
        <v>29.07407974435072</v>
      </c>
      <c r="C169" s="37" t="e">
        <f t="shared" si="9"/>
        <v>#N/A</v>
      </c>
      <c r="D169" s="46" t="e">
        <f t="shared" si="10"/>
        <v>#N/A</v>
      </c>
      <c r="E169" s="98">
        <f t="shared" si="11"/>
      </c>
      <c r="L169" s="189"/>
      <c r="Q169" s="3"/>
      <c r="R169" s="3"/>
    </row>
    <row r="170" spans="2:18" ht="12.75" customHeight="1">
      <c r="B170" s="45">
        <f t="shared" si="12"/>
        <v>34.88889569322086</v>
      </c>
      <c r="C170" s="37" t="e">
        <f t="shared" si="9"/>
        <v>#N/A</v>
      </c>
      <c r="D170" s="46" t="e">
        <f t="shared" si="10"/>
        <v>#N/A</v>
      </c>
      <c r="E170" s="98">
        <f t="shared" si="11"/>
      </c>
      <c r="L170" s="189"/>
      <c r="Q170" s="3"/>
      <c r="R170" s="3"/>
    </row>
    <row r="171" spans="2:18" ht="12.75" customHeight="1">
      <c r="B171" s="45">
        <f t="shared" si="12"/>
        <v>41.86667483186503</v>
      </c>
      <c r="C171" s="37" t="e">
        <f t="shared" si="9"/>
        <v>#N/A</v>
      </c>
      <c r="D171" s="46" t="e">
        <f t="shared" si="10"/>
        <v>#N/A</v>
      </c>
      <c r="E171" s="98">
        <f t="shared" si="11"/>
      </c>
      <c r="L171" s="189"/>
      <c r="Q171" s="3"/>
      <c r="R171" s="3"/>
    </row>
    <row r="172" spans="2:18" ht="12.75" customHeight="1">
      <c r="B172" s="45">
        <f t="shared" si="12"/>
        <v>50.24000979823804</v>
      </c>
      <c r="C172" s="37" t="e">
        <f t="shared" si="9"/>
        <v>#N/A</v>
      </c>
      <c r="D172" s="46" t="e">
        <f t="shared" si="10"/>
        <v>#N/A</v>
      </c>
      <c r="E172" s="98">
        <f t="shared" si="11"/>
      </c>
      <c r="L172" s="189"/>
      <c r="Q172" s="3"/>
      <c r="R172" s="3"/>
    </row>
    <row r="173" spans="2:18" ht="12.75" customHeight="1">
      <c r="B173" s="45">
        <f t="shared" si="12"/>
        <v>60.28801175788565</v>
      </c>
      <c r="C173" s="37" t="e">
        <f t="shared" si="9"/>
        <v>#N/A</v>
      </c>
      <c r="D173" s="46" t="e">
        <f t="shared" si="10"/>
        <v>#N/A</v>
      </c>
      <c r="E173" s="98">
        <f t="shared" si="11"/>
      </c>
      <c r="L173" s="189"/>
      <c r="Q173" s="3"/>
      <c r="R173" s="3"/>
    </row>
    <row r="174" spans="2:18" ht="12.75" customHeight="1">
      <c r="B174" s="45">
        <f t="shared" si="12"/>
        <v>72.34561410946277</v>
      </c>
      <c r="C174" s="37" t="e">
        <f t="shared" si="9"/>
        <v>#N/A</v>
      </c>
      <c r="D174" s="46" t="e">
        <f t="shared" si="10"/>
        <v>#N/A</v>
      </c>
      <c r="E174" s="98">
        <f t="shared" si="11"/>
      </c>
      <c r="L174" s="189"/>
      <c r="Q174" s="3"/>
      <c r="R174" s="3"/>
    </row>
    <row r="175" spans="2:18" ht="12.75" customHeight="1">
      <c r="B175" s="45">
        <f t="shared" si="12"/>
        <v>86.81473693135533</v>
      </c>
      <c r="C175" s="37" t="e">
        <f t="shared" si="9"/>
        <v>#N/A</v>
      </c>
      <c r="D175" s="46" t="e">
        <f t="shared" si="10"/>
        <v>#N/A</v>
      </c>
      <c r="E175" s="98">
        <f t="shared" si="11"/>
      </c>
      <c r="L175" s="189"/>
      <c r="Q175" s="3"/>
      <c r="R175" s="3"/>
    </row>
    <row r="176" spans="2:18" ht="12.75" customHeight="1">
      <c r="B176" s="45">
        <f t="shared" si="12"/>
        <v>104.17768431762639</v>
      </c>
      <c r="C176" s="37" t="e">
        <f t="shared" si="9"/>
        <v>#N/A</v>
      </c>
      <c r="D176" s="46" t="e">
        <f t="shared" si="10"/>
        <v>#N/A</v>
      </c>
      <c r="E176" s="98">
        <f t="shared" si="11"/>
      </c>
      <c r="L176" s="189"/>
      <c r="Q176" s="3"/>
      <c r="R176" s="3"/>
    </row>
    <row r="177" spans="2:18" ht="12.75" customHeight="1">
      <c r="B177" s="45">
        <f t="shared" si="12"/>
        <v>125.01322118115166</v>
      </c>
      <c r="C177" s="37" t="e">
        <f t="shared" si="9"/>
        <v>#N/A</v>
      </c>
      <c r="D177" s="46" t="e">
        <f t="shared" si="10"/>
        <v>#N/A</v>
      </c>
      <c r="E177" s="98">
        <f t="shared" si="11"/>
      </c>
      <c r="L177" s="189"/>
      <c r="Q177" s="3"/>
      <c r="R177" s="3"/>
    </row>
    <row r="178" spans="2:18" ht="12.75" customHeight="1">
      <c r="B178" s="45">
        <f t="shared" si="12"/>
        <v>150.015865417382</v>
      </c>
      <c r="C178" s="37" t="e">
        <f t="shared" si="9"/>
        <v>#N/A</v>
      </c>
      <c r="D178" s="46" t="e">
        <f t="shared" si="10"/>
        <v>#N/A</v>
      </c>
      <c r="E178" s="98">
        <f t="shared" si="11"/>
      </c>
      <c r="L178" s="189"/>
      <c r="Q178" s="3"/>
      <c r="R178" s="3"/>
    </row>
    <row r="179" spans="2:18" ht="12.75" customHeight="1">
      <c r="B179" s="45">
        <f t="shared" si="12"/>
        <v>180.0190385008584</v>
      </c>
      <c r="C179" s="37" t="e">
        <f t="shared" si="9"/>
        <v>#N/A</v>
      </c>
      <c r="D179" s="46" t="e">
        <f t="shared" si="10"/>
        <v>#N/A</v>
      </c>
      <c r="E179" s="98">
        <f t="shared" si="11"/>
      </c>
      <c r="L179" s="189"/>
      <c r="Q179" s="3"/>
      <c r="R179" s="3"/>
    </row>
    <row r="180" spans="2:18" ht="12.75" customHeight="1">
      <c r="B180" s="45">
        <f t="shared" si="12"/>
        <v>216.02284620103006</v>
      </c>
      <c r="C180" s="37" t="e">
        <f t="shared" si="9"/>
        <v>#N/A</v>
      </c>
      <c r="D180" s="46" t="e">
        <f t="shared" si="10"/>
        <v>#N/A</v>
      </c>
      <c r="E180" s="98">
        <f t="shared" si="11"/>
      </c>
      <c r="L180" s="189"/>
      <c r="Q180" s="3"/>
      <c r="R180" s="3"/>
    </row>
    <row r="181" spans="2:18" ht="12.75" customHeight="1">
      <c r="B181" s="45">
        <f t="shared" si="12"/>
        <v>259.2274154412361</v>
      </c>
      <c r="C181" s="37" t="e">
        <f t="shared" si="9"/>
        <v>#N/A</v>
      </c>
      <c r="D181" s="46" t="e">
        <f t="shared" si="10"/>
        <v>#N/A</v>
      </c>
      <c r="E181" s="98">
        <f t="shared" si="11"/>
      </c>
      <c r="L181" s="189"/>
      <c r="Q181" s="3"/>
      <c r="R181" s="3"/>
    </row>
    <row r="182" spans="2:18" ht="12.75" customHeight="1">
      <c r="B182" s="45">
        <f t="shared" si="12"/>
        <v>311.07289852948327</v>
      </c>
      <c r="C182" s="37" t="e">
        <f t="shared" si="9"/>
        <v>#N/A</v>
      </c>
      <c r="D182" s="46" t="e">
        <f t="shared" si="10"/>
        <v>#N/A</v>
      </c>
      <c r="E182" s="98">
        <f t="shared" si="11"/>
      </c>
      <c r="L182" s="189"/>
      <c r="Q182" s="3"/>
      <c r="R182" s="3"/>
    </row>
    <row r="183" spans="2:18" ht="12.75" customHeight="1">
      <c r="B183" s="45">
        <f t="shared" si="12"/>
        <v>373.2874782353799</v>
      </c>
      <c r="C183" s="37" t="e">
        <f t="shared" si="9"/>
        <v>#N/A</v>
      </c>
      <c r="D183" s="46" t="e">
        <f t="shared" si="10"/>
        <v>#N/A</v>
      </c>
      <c r="E183" s="98">
        <f t="shared" si="11"/>
      </c>
      <c r="L183" s="189"/>
      <c r="Q183" s="3"/>
      <c r="R183" s="3"/>
    </row>
    <row r="184" spans="2:18" ht="12.75" customHeight="1">
      <c r="B184" s="45">
        <f t="shared" si="12"/>
        <v>447.9449738824559</v>
      </c>
      <c r="C184" s="37" t="e">
        <f t="shared" si="9"/>
        <v>#N/A</v>
      </c>
      <c r="D184" s="46" t="e">
        <f t="shared" si="10"/>
        <v>#N/A</v>
      </c>
      <c r="E184" s="98">
        <f t="shared" si="11"/>
      </c>
      <c r="L184" s="189"/>
      <c r="Q184" s="3"/>
      <c r="R184" s="3"/>
    </row>
    <row r="185" spans="2:18" ht="12.75" customHeight="1">
      <c r="B185" s="45">
        <f t="shared" si="12"/>
        <v>537.5339686589471</v>
      </c>
      <c r="C185" s="37" t="e">
        <f t="shared" si="9"/>
        <v>#N/A</v>
      </c>
      <c r="D185" s="46" t="e">
        <f t="shared" si="10"/>
        <v>#N/A</v>
      </c>
      <c r="E185" s="98">
        <f t="shared" si="11"/>
      </c>
      <c r="L185" s="189"/>
      <c r="Q185" s="3"/>
      <c r="R185" s="3"/>
    </row>
    <row r="186" spans="2:18" ht="12.75" customHeight="1">
      <c r="B186" s="45">
        <f t="shared" si="12"/>
        <v>645.0407623907364</v>
      </c>
      <c r="C186" s="37" t="e">
        <f t="shared" si="9"/>
        <v>#N/A</v>
      </c>
      <c r="D186" s="46" t="e">
        <f t="shared" si="10"/>
        <v>#N/A</v>
      </c>
      <c r="E186" s="98">
        <f t="shared" si="11"/>
      </c>
      <c r="L186" s="189"/>
      <c r="Q186" s="3"/>
      <c r="R186" s="3"/>
    </row>
    <row r="187" spans="2:18" ht="12.75" customHeight="1">
      <c r="B187" s="45">
        <f t="shared" si="12"/>
        <v>774.0489148688837</v>
      </c>
      <c r="C187" s="37" t="e">
        <f t="shared" si="9"/>
        <v>#N/A</v>
      </c>
      <c r="D187" s="46" t="e">
        <f t="shared" si="10"/>
        <v>#N/A</v>
      </c>
      <c r="E187" s="98">
        <f t="shared" si="11"/>
      </c>
      <c r="L187" s="189"/>
      <c r="Q187" s="3"/>
      <c r="R187" s="3"/>
    </row>
    <row r="188" spans="2:18" ht="12.75" customHeight="1">
      <c r="B188" s="45">
        <f t="shared" si="12"/>
        <v>928.8586978426604</v>
      </c>
      <c r="C188" s="37" t="e">
        <f t="shared" si="9"/>
        <v>#N/A</v>
      </c>
      <c r="D188" s="46" t="e">
        <f t="shared" si="10"/>
        <v>#N/A</v>
      </c>
      <c r="E188" s="98">
        <f t="shared" si="11"/>
      </c>
      <c r="L188" s="189"/>
      <c r="Q188" s="3"/>
      <c r="R188" s="3"/>
    </row>
    <row r="189" spans="2:18" ht="12.75" customHeight="1">
      <c r="B189" s="45">
        <f t="shared" si="12"/>
        <v>1114.6304374111924</v>
      </c>
      <c r="C189" s="37" t="e">
        <f t="shared" si="9"/>
        <v>#N/A</v>
      </c>
      <c r="D189" s="46" t="e">
        <f t="shared" si="10"/>
        <v>#N/A</v>
      </c>
      <c r="E189" s="98">
        <f t="shared" si="11"/>
      </c>
      <c r="L189" s="189"/>
      <c r="Q189" s="3"/>
      <c r="R189" s="3"/>
    </row>
    <row r="190" spans="2:18" ht="12.75" customHeight="1">
      <c r="B190" s="45">
        <f t="shared" si="12"/>
        <v>1337.5565248934308</v>
      </c>
      <c r="C190" s="37" t="e">
        <f t="shared" si="9"/>
        <v>#N/A</v>
      </c>
      <c r="D190" s="46" t="e">
        <f t="shared" si="10"/>
        <v>#N/A</v>
      </c>
      <c r="E190" s="98">
        <f t="shared" si="11"/>
      </c>
      <c r="L190" s="189"/>
      <c r="Q190" s="3"/>
      <c r="R190" s="3"/>
    </row>
    <row r="191" spans="2:18" ht="12.75" customHeight="1">
      <c r="B191" s="45">
        <f t="shared" si="12"/>
        <v>1605.067829872117</v>
      </c>
      <c r="C191" s="37" t="e">
        <f t="shared" si="9"/>
        <v>#N/A</v>
      </c>
      <c r="D191" s="46" t="e">
        <f t="shared" si="10"/>
        <v>#N/A</v>
      </c>
      <c r="E191" s="98">
        <f t="shared" si="11"/>
      </c>
      <c r="L191" s="189"/>
      <c r="Q191" s="3"/>
      <c r="R191" s="3"/>
    </row>
    <row r="192" spans="2:18" ht="12.75" customHeight="1">
      <c r="B192" s="45">
        <f t="shared" si="12"/>
        <v>1926.0813958465403</v>
      </c>
      <c r="C192" s="37" t="e">
        <f t="shared" si="9"/>
        <v>#N/A</v>
      </c>
      <c r="D192" s="46" t="e">
        <f t="shared" si="10"/>
        <v>#N/A</v>
      </c>
      <c r="E192" s="98">
        <f t="shared" si="11"/>
      </c>
      <c r="L192" s="189"/>
      <c r="Q192" s="3"/>
      <c r="R192" s="3"/>
    </row>
    <row r="193" spans="2:18" ht="12.75" customHeight="1">
      <c r="B193" s="45">
        <f t="shared" si="12"/>
        <v>2311.297675015848</v>
      </c>
      <c r="C193" s="37" t="e">
        <f t="shared" si="9"/>
        <v>#N/A</v>
      </c>
      <c r="D193" s="46" t="e">
        <f t="shared" si="10"/>
        <v>#N/A</v>
      </c>
      <c r="E193" s="98">
        <f t="shared" si="11"/>
      </c>
      <c r="L193" s="189"/>
      <c r="Q193" s="3"/>
      <c r="R193" s="3"/>
    </row>
    <row r="194" spans="2:18" ht="12.75" customHeight="1">
      <c r="B194" s="45">
        <f t="shared" si="12"/>
        <v>2773.557210019018</v>
      </c>
      <c r="C194" s="37" t="e">
        <f t="shared" si="9"/>
        <v>#N/A</v>
      </c>
      <c r="D194" s="46" t="e">
        <f t="shared" si="10"/>
        <v>#N/A</v>
      </c>
      <c r="E194" s="98">
        <f t="shared" si="11"/>
      </c>
      <c r="L194" s="189"/>
      <c r="Q194" s="3"/>
      <c r="R194" s="3"/>
    </row>
    <row r="195" spans="2:18" ht="12.75" customHeight="1">
      <c r="B195" s="45">
        <f t="shared" si="12"/>
        <v>3328.2686520228212</v>
      </c>
      <c r="C195" s="37" t="e">
        <f t="shared" si="9"/>
        <v>#N/A</v>
      </c>
      <c r="D195" s="46" t="e">
        <f t="shared" si="10"/>
        <v>#N/A</v>
      </c>
      <c r="E195" s="98">
        <f t="shared" si="11"/>
      </c>
      <c r="L195" s="189"/>
      <c r="Q195" s="3"/>
      <c r="R195" s="3"/>
    </row>
    <row r="196" spans="2:18" ht="12.75" customHeight="1">
      <c r="B196" s="45">
        <f t="shared" si="12"/>
        <v>3993.9223824273854</v>
      </c>
      <c r="C196" s="37" t="e">
        <f aca="true" t="shared" si="13" ref="C196:C214">IF(OR(ISBLANK(B196),B196-0.2*B196&gt;$C$12),#N/A,B196)</f>
        <v>#N/A</v>
      </c>
      <c r="D196" s="46" t="e">
        <f aca="true" t="shared" si="14" ref="D196:D214">IF(OR(ISBLANK(B196),B196-0.2*B196&gt;$C$12,ISERROR($C$62),ISTEXT(C$61),ISTEXT(C$62)),#N/A,($C$62*B196+$C$61)/B196*100)</f>
        <v>#N/A</v>
      </c>
      <c r="E196" s="98">
        <f t="shared" si="11"/>
      </c>
      <c r="L196" s="189"/>
      <c r="Q196" s="3"/>
      <c r="R196" s="3"/>
    </row>
    <row r="197" spans="2:18" ht="12.75" customHeight="1">
      <c r="B197" s="45">
        <f t="shared" si="12"/>
        <v>4792.706858912862</v>
      </c>
      <c r="C197" s="37" t="e">
        <f t="shared" si="13"/>
        <v>#N/A</v>
      </c>
      <c r="D197" s="46" t="e">
        <f t="shared" si="14"/>
        <v>#N/A</v>
      </c>
      <c r="E197" s="98">
        <f t="shared" si="11"/>
      </c>
      <c r="L197" s="189"/>
      <c r="Q197" s="3"/>
      <c r="R197" s="3"/>
    </row>
    <row r="198" spans="2:18" ht="12.75" customHeight="1">
      <c r="B198" s="45">
        <f t="shared" si="12"/>
        <v>5751.248230695434</v>
      </c>
      <c r="C198" s="37" t="e">
        <f t="shared" si="13"/>
        <v>#N/A</v>
      </c>
      <c r="D198" s="46" t="e">
        <f t="shared" si="14"/>
        <v>#N/A</v>
      </c>
      <c r="E198" s="98">
        <f t="shared" si="11"/>
      </c>
      <c r="L198" s="189"/>
      <c r="Q198" s="3"/>
      <c r="R198" s="3"/>
    </row>
    <row r="199" spans="2:18" ht="12.75" customHeight="1">
      <c r="B199" s="45">
        <f t="shared" si="12"/>
        <v>6901.497876834521</v>
      </c>
      <c r="C199" s="37" t="e">
        <f t="shared" si="13"/>
        <v>#N/A</v>
      </c>
      <c r="D199" s="46" t="e">
        <f t="shared" si="14"/>
        <v>#N/A</v>
      </c>
      <c r="E199" s="98">
        <f t="shared" si="11"/>
      </c>
      <c r="L199" s="189"/>
      <c r="Q199" s="3"/>
      <c r="R199" s="3"/>
    </row>
    <row r="200" spans="2:18" ht="12.75" customHeight="1">
      <c r="B200" s="45">
        <f t="shared" si="12"/>
        <v>8281.797452201425</v>
      </c>
      <c r="C200" s="37" t="e">
        <f t="shared" si="13"/>
        <v>#N/A</v>
      </c>
      <c r="D200" s="46" t="e">
        <f t="shared" si="14"/>
        <v>#N/A</v>
      </c>
      <c r="E200" s="98">
        <f t="shared" si="11"/>
      </c>
      <c r="L200" s="189"/>
      <c r="Q200" s="3"/>
      <c r="R200" s="3"/>
    </row>
    <row r="201" spans="2:18" ht="12.75" customHeight="1">
      <c r="B201" s="45">
        <f t="shared" si="12"/>
        <v>9938.15694264171</v>
      </c>
      <c r="C201" s="37" t="e">
        <f t="shared" si="13"/>
        <v>#N/A</v>
      </c>
      <c r="D201" s="46" t="e">
        <f t="shared" si="14"/>
        <v>#N/A</v>
      </c>
      <c r="E201" s="98">
        <f t="shared" si="11"/>
      </c>
      <c r="L201" s="189"/>
      <c r="Q201" s="3"/>
      <c r="R201" s="3"/>
    </row>
    <row r="202" spans="2:18" ht="12.75" customHeight="1">
      <c r="B202" s="45">
        <f t="shared" si="12"/>
        <v>11925.788331170052</v>
      </c>
      <c r="C202" s="37" t="e">
        <f t="shared" si="13"/>
        <v>#N/A</v>
      </c>
      <c r="D202" s="46" t="e">
        <f t="shared" si="14"/>
        <v>#N/A</v>
      </c>
      <c r="E202" s="98">
        <f t="shared" si="11"/>
      </c>
      <c r="L202" s="189"/>
      <c r="Q202" s="3"/>
      <c r="R202" s="3"/>
    </row>
    <row r="203" spans="2:18" ht="12.75" customHeight="1">
      <c r="B203" s="45">
        <f t="shared" si="12"/>
        <v>14310.945997404062</v>
      </c>
      <c r="C203" s="37" t="e">
        <f t="shared" si="13"/>
        <v>#N/A</v>
      </c>
      <c r="D203" s="46" t="e">
        <f t="shared" si="14"/>
        <v>#N/A</v>
      </c>
      <c r="E203" s="98">
        <f t="shared" si="11"/>
      </c>
      <c r="L203" s="189"/>
      <c r="Q203" s="3"/>
      <c r="R203" s="3"/>
    </row>
    <row r="204" spans="2:18" ht="12.75" customHeight="1">
      <c r="B204" s="45">
        <f t="shared" si="12"/>
        <v>17173.135196884872</v>
      </c>
      <c r="C204" s="37" t="e">
        <f t="shared" si="13"/>
        <v>#N/A</v>
      </c>
      <c r="D204" s="46" t="e">
        <f t="shared" si="14"/>
        <v>#N/A</v>
      </c>
      <c r="E204" s="98">
        <f t="shared" si="11"/>
      </c>
      <c r="L204" s="189"/>
      <c r="Q204" s="3"/>
      <c r="R204" s="3"/>
    </row>
    <row r="205" spans="2:18" ht="12.75" customHeight="1">
      <c r="B205" s="45">
        <f t="shared" si="12"/>
        <v>20607.762236261846</v>
      </c>
      <c r="C205" s="37" t="e">
        <f t="shared" si="13"/>
        <v>#N/A</v>
      </c>
      <c r="D205" s="46" t="e">
        <f t="shared" si="14"/>
        <v>#N/A</v>
      </c>
      <c r="E205" s="98">
        <f t="shared" si="11"/>
      </c>
      <c r="L205" s="189"/>
      <c r="Q205" s="3"/>
      <c r="R205" s="3"/>
    </row>
    <row r="206" spans="2:18" ht="12.75" customHeight="1">
      <c r="B206" s="45">
        <f t="shared" si="12"/>
        <v>24729.314683514214</v>
      </c>
      <c r="C206" s="37" t="e">
        <f t="shared" si="13"/>
        <v>#N/A</v>
      </c>
      <c r="D206" s="46" t="e">
        <f t="shared" si="14"/>
        <v>#N/A</v>
      </c>
      <c r="E206" s="98">
        <f t="shared" si="11"/>
      </c>
      <c r="L206" s="189"/>
      <c r="Q206" s="3"/>
      <c r="R206" s="3"/>
    </row>
    <row r="207" spans="2:18" ht="12.75" customHeight="1">
      <c r="B207" s="45">
        <f t="shared" si="12"/>
        <v>29675.177620217055</v>
      </c>
      <c r="C207" s="37" t="e">
        <f t="shared" si="13"/>
        <v>#N/A</v>
      </c>
      <c r="D207" s="46" t="e">
        <f t="shared" si="14"/>
        <v>#N/A</v>
      </c>
      <c r="E207" s="98">
        <f t="shared" si="11"/>
      </c>
      <c r="L207" s="189"/>
      <c r="Q207" s="3"/>
      <c r="R207" s="3"/>
    </row>
    <row r="208" spans="2:18" ht="12.75" customHeight="1">
      <c r="B208" s="45">
        <f t="shared" si="12"/>
        <v>35610.213144260466</v>
      </c>
      <c r="C208" s="37" t="e">
        <f t="shared" si="13"/>
        <v>#N/A</v>
      </c>
      <c r="D208" s="46" t="e">
        <f t="shared" si="14"/>
        <v>#N/A</v>
      </c>
      <c r="E208" s="98">
        <f t="shared" si="11"/>
      </c>
      <c r="L208" s="189"/>
      <c r="Q208" s="3"/>
      <c r="R208" s="3"/>
    </row>
    <row r="209" spans="2:18" ht="12.75" customHeight="1">
      <c r="B209" s="45">
        <f t="shared" si="12"/>
        <v>42732.255773112556</v>
      </c>
      <c r="C209" s="37" t="e">
        <f t="shared" si="13"/>
        <v>#N/A</v>
      </c>
      <c r="D209" s="46" t="e">
        <f t="shared" si="14"/>
        <v>#N/A</v>
      </c>
      <c r="E209" s="98">
        <f t="shared" si="11"/>
      </c>
      <c r="L209" s="189"/>
      <c r="Q209" s="3"/>
      <c r="R209" s="3"/>
    </row>
    <row r="210" spans="2:18" ht="12.75" customHeight="1">
      <c r="B210" s="45">
        <f t="shared" si="12"/>
        <v>51278.70692773507</v>
      </c>
      <c r="C210" s="37" t="e">
        <f t="shared" si="13"/>
        <v>#N/A</v>
      </c>
      <c r="D210" s="46" t="e">
        <f t="shared" si="14"/>
        <v>#N/A</v>
      </c>
      <c r="E210" s="98">
        <f t="shared" si="11"/>
      </c>
      <c r="L210" s="189"/>
      <c r="Q210" s="3"/>
      <c r="R210" s="3"/>
    </row>
    <row r="211" spans="2:18" ht="12.75" customHeight="1">
      <c r="B211" s="45">
        <f>B210*1.2</f>
        <v>61534.448313282075</v>
      </c>
      <c r="C211" s="37" t="e">
        <f t="shared" si="13"/>
        <v>#N/A</v>
      </c>
      <c r="D211" s="46" t="e">
        <f t="shared" si="14"/>
        <v>#N/A</v>
      </c>
      <c r="E211" s="98">
        <f t="shared" si="11"/>
      </c>
      <c r="L211" s="189"/>
      <c r="Q211" s="3"/>
      <c r="R211" s="3"/>
    </row>
    <row r="212" spans="2:18" ht="12.75" customHeight="1">
      <c r="B212" s="45">
        <f>B211*1.2</f>
        <v>73841.33797593848</v>
      </c>
      <c r="C212" s="37" t="e">
        <f t="shared" si="13"/>
        <v>#N/A</v>
      </c>
      <c r="D212" s="46" t="e">
        <f t="shared" si="14"/>
        <v>#N/A</v>
      </c>
      <c r="E212" s="98">
        <f t="shared" si="11"/>
      </c>
      <c r="L212" s="189"/>
      <c r="Q212" s="3"/>
      <c r="R212" s="3"/>
    </row>
    <row r="213" spans="2:18" ht="12.75" customHeight="1">
      <c r="B213" s="45">
        <f>B212*1.2</f>
        <v>88609.60557112617</v>
      </c>
      <c r="C213" s="37" t="e">
        <f t="shared" si="13"/>
        <v>#N/A</v>
      </c>
      <c r="D213" s="46" t="e">
        <f t="shared" si="14"/>
        <v>#N/A</v>
      </c>
      <c r="E213" s="98">
        <f t="shared" si="11"/>
      </c>
      <c r="L213" s="189"/>
      <c r="Q213" s="3"/>
      <c r="R213" s="3"/>
    </row>
    <row r="214" spans="2:18" ht="12.75" customHeight="1">
      <c r="B214" s="54">
        <f>B213*1.2</f>
        <v>106331.5266853514</v>
      </c>
      <c r="C214" s="55" t="e">
        <f t="shared" si="13"/>
        <v>#N/A</v>
      </c>
      <c r="D214" s="56" t="e">
        <f t="shared" si="14"/>
        <v>#N/A</v>
      </c>
      <c r="E214" s="98" t="s">
        <v>150</v>
      </c>
      <c r="L214" s="189"/>
      <c r="Q214" s="3"/>
      <c r="R214" s="3"/>
    </row>
    <row r="215" spans="4:18" ht="12.75" customHeight="1">
      <c r="D215" s="100" t="s">
        <v>249</v>
      </c>
      <c r="E215" s="98">
        <f>SUM(E100:E214)</f>
        <v>0</v>
      </c>
      <c r="L215" s="189"/>
      <c r="Q215" s="3"/>
      <c r="R215" s="3"/>
    </row>
    <row r="216" spans="4:18" ht="12.75" customHeight="1">
      <c r="D216" s="6"/>
      <c r="E216" s="6"/>
      <c r="L216" s="189"/>
      <c r="Q216" s="3"/>
      <c r="R216" s="3"/>
    </row>
    <row r="217" spans="4:18" ht="12.75" customHeight="1">
      <c r="D217" s="6"/>
      <c r="E217" s="6"/>
      <c r="L217" s="189"/>
      <c r="Q217" s="3"/>
      <c r="R217" s="3"/>
    </row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</sheetData>
  <sheetProtection sheet="1" selectLockedCells="1"/>
  <mergeCells count="14">
    <mergeCell ref="D61:D62"/>
    <mergeCell ref="J62:J64"/>
    <mergeCell ref="E65:I66"/>
    <mergeCell ref="E20:E21"/>
    <mergeCell ref="G12:J12"/>
    <mergeCell ref="E13:J13"/>
    <mergeCell ref="B6:C6"/>
    <mergeCell ref="B11:C11"/>
    <mergeCell ref="B10:C10"/>
    <mergeCell ref="H8:J8"/>
    <mergeCell ref="H7:J7"/>
    <mergeCell ref="H11:J11"/>
    <mergeCell ref="H10:J10"/>
    <mergeCell ref="H9:J9"/>
  </mergeCells>
  <conditionalFormatting sqref="C61:G61 I60:J62 C62 F52 A63 C60:H60 E62:G63 F64:G64">
    <cfRule type="cellIs" priority="13" dxfId="19" operator="equal">
      <formula>"?"</formula>
    </cfRule>
  </conditionalFormatting>
  <conditionalFormatting sqref="C18 A26:C26 H18 E18:F18">
    <cfRule type="cellIs" priority="7" dxfId="17" operator="equal">
      <formula>"Prüflast ?"</formula>
    </cfRule>
  </conditionalFormatting>
  <conditionalFormatting sqref="C51:F51 G52:H52">
    <cfRule type="cellIs" priority="14" dxfId="20" operator="equal" stopIfTrue="1">
      <formula>"ja"</formula>
    </cfRule>
  </conditionalFormatting>
  <conditionalFormatting sqref="B46:B48 F35:H35 F36:F37 H36:H37">
    <cfRule type="expression" priority="34" dxfId="13">
      <formula>$S$7&gt;9E+307</formula>
    </cfRule>
  </conditionalFormatting>
  <conditionalFormatting sqref="B19:B21 F20:F21 B26:B27 B32 B34:B39 F35:F39 G35 H35:H39 C12:C13 B43 B45:B49">
    <cfRule type="cellIs" priority="5" dxfId="12" operator="equal" stopIfTrue="1">
      <formula>""</formula>
    </cfRule>
  </conditionalFormatting>
  <conditionalFormatting sqref="G36:G39">
    <cfRule type="expression" priority="4" dxfId="13">
      <formula>$S$7&gt;9E+307</formula>
    </cfRule>
  </conditionalFormatting>
  <conditionalFormatting sqref="G36:G39">
    <cfRule type="cellIs" priority="3" dxfId="12" operator="equal" stopIfTrue="1">
      <formula>""</formula>
    </cfRule>
  </conditionalFormatting>
  <conditionalFormatting sqref="G44">
    <cfRule type="cellIs" priority="2" dxfId="20" operator="equal" stopIfTrue="1">
      <formula>"ja"</formula>
    </cfRule>
  </conditionalFormatting>
  <conditionalFormatting sqref="G45">
    <cfRule type="cellIs" priority="1" dxfId="20" operator="equal" stopIfTrue="1">
      <formula>"ja"</formula>
    </cfRule>
  </conditionalFormatting>
  <printOptions/>
  <pageMargins left="0.5905511811023623" right="0" top="0.3937007874015748" bottom="0.3937007874015748" header="0.1968503937007874" footer="0.31496062992125984"/>
  <pageSetup horizontalDpi="600" verticalDpi="600" orientation="portrait" paperSize="9" scale="79" r:id="rId4"/>
  <rowBreaks count="1" manualBreakCount="1">
    <brk id="8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4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2.7109375" style="110" customWidth="1"/>
    <col min="2" max="2" width="11.7109375" style="110" customWidth="1"/>
    <col min="3" max="3" width="2.7109375" style="110" customWidth="1"/>
    <col min="4" max="5" width="1.7109375" style="110" customWidth="1"/>
    <col min="6" max="6" width="22.7109375" style="110" customWidth="1"/>
    <col min="7" max="8" width="12.7109375" style="110" customWidth="1"/>
    <col min="9" max="9" width="9.7109375" style="110" customWidth="1"/>
    <col min="10" max="11" width="2.7109375" style="110" customWidth="1"/>
    <col min="12" max="12" width="13.00390625" style="110" customWidth="1"/>
    <col min="13" max="13" width="11.57421875" style="110" bestFit="1" customWidth="1"/>
    <col min="14" max="14" width="11.421875" style="110" customWidth="1"/>
    <col min="15" max="15" width="2.7109375" style="110" customWidth="1"/>
    <col min="16" max="16384" width="11.421875" style="110" customWidth="1"/>
  </cols>
  <sheetData>
    <row r="1" spans="1:12" ht="15" customHeight="1">
      <c r="A1" s="329" t="s">
        <v>253</v>
      </c>
      <c r="B1" s="330"/>
      <c r="C1" s="318" t="s">
        <v>254</v>
      </c>
      <c r="D1" s="319"/>
      <c r="E1" s="319"/>
      <c r="F1" s="319"/>
      <c r="G1" s="320"/>
      <c r="H1" s="107" t="s">
        <v>255</v>
      </c>
      <c r="I1" s="108"/>
      <c r="J1" s="109"/>
      <c r="L1" s="111"/>
    </row>
    <row r="2" spans="1:12" ht="15" customHeight="1">
      <c r="A2" s="331"/>
      <c r="B2" s="332"/>
      <c r="C2" s="321"/>
      <c r="D2" s="322"/>
      <c r="E2" s="322"/>
      <c r="F2" s="322"/>
      <c r="G2" s="323"/>
      <c r="H2" s="112" t="s">
        <v>256</v>
      </c>
      <c r="I2" s="113">
        <v>1</v>
      </c>
      <c r="J2" s="114"/>
      <c r="L2" s="111"/>
    </row>
    <row r="3" spans="1:12" ht="15" customHeight="1">
      <c r="A3" s="115"/>
      <c r="B3" s="116"/>
      <c r="C3" s="324"/>
      <c r="D3" s="325"/>
      <c r="E3" s="325"/>
      <c r="F3" s="325"/>
      <c r="G3" s="326"/>
      <c r="H3" s="117" t="s">
        <v>257</v>
      </c>
      <c r="I3" s="327">
        <v>41519</v>
      </c>
      <c r="J3" s="328"/>
      <c r="L3" s="111"/>
    </row>
    <row r="4" spans="5:12" s="118" customFormat="1" ht="24" customHeight="1">
      <c r="E4" s="119"/>
      <c r="F4" s="119"/>
      <c r="G4" s="119"/>
      <c r="H4" s="119"/>
      <c r="I4" s="119"/>
      <c r="J4" s="119"/>
      <c r="K4" s="119"/>
      <c r="L4" s="120"/>
    </row>
    <row r="5" spans="1:12" s="118" customFormat="1" ht="16.5" customHeight="1">
      <c r="A5" s="121" t="s">
        <v>258</v>
      </c>
      <c r="E5" s="119"/>
      <c r="F5" s="122"/>
      <c r="G5" s="122"/>
      <c r="H5" s="122"/>
      <c r="I5" s="122"/>
      <c r="J5" s="122"/>
      <c r="K5" s="119"/>
      <c r="L5" s="120"/>
    </row>
    <row r="6" spans="1:12" s="118" customFormat="1" ht="16.5" customHeight="1">
      <c r="A6" s="121" t="s">
        <v>259</v>
      </c>
      <c r="E6" s="119"/>
      <c r="F6" s="123"/>
      <c r="G6" s="123"/>
      <c r="H6" s="123"/>
      <c r="I6" s="123"/>
      <c r="J6" s="123"/>
      <c r="K6" s="119"/>
      <c r="L6" s="120"/>
    </row>
    <row r="7" spans="1:12" s="118" customFormat="1" ht="16.5" customHeight="1">
      <c r="A7" s="121" t="s">
        <v>260</v>
      </c>
      <c r="E7" s="119"/>
      <c r="F7" s="123"/>
      <c r="G7" s="123"/>
      <c r="H7" s="123"/>
      <c r="I7" s="123"/>
      <c r="J7" s="123"/>
      <c r="K7" s="119"/>
      <c r="L7" s="120"/>
    </row>
    <row r="8" spans="1:12" s="118" customFormat="1" ht="16.5" customHeight="1">
      <c r="A8" s="121" t="s">
        <v>261</v>
      </c>
      <c r="E8" s="119"/>
      <c r="F8" s="124"/>
      <c r="G8" s="123"/>
      <c r="H8" s="123"/>
      <c r="I8" s="123"/>
      <c r="J8" s="123"/>
      <c r="K8" s="119"/>
      <c r="L8" s="120"/>
    </row>
    <row r="9" spans="1:12" s="118" customFormat="1" ht="24" customHeight="1">
      <c r="A9" s="121" t="s">
        <v>3</v>
      </c>
      <c r="E9" s="119"/>
      <c r="F9" s="123"/>
      <c r="G9" s="123"/>
      <c r="H9" s="123"/>
      <c r="I9" s="123"/>
      <c r="J9" s="123"/>
      <c r="K9" s="119"/>
      <c r="L9" s="120"/>
    </row>
    <row r="10" spans="1:12" s="118" customFormat="1" ht="16.5" customHeight="1">
      <c r="A10" s="121"/>
      <c r="E10" s="119"/>
      <c r="F10" s="123"/>
      <c r="G10" s="123"/>
      <c r="H10" s="123"/>
      <c r="I10" s="123"/>
      <c r="J10" s="123"/>
      <c r="K10" s="119"/>
      <c r="L10" s="120"/>
    </row>
    <row r="11" spans="1:15" s="118" customFormat="1" ht="16.5" customHeight="1">
      <c r="A11" s="121"/>
      <c r="E11" s="119"/>
      <c r="F11" s="119"/>
      <c r="G11" s="119"/>
      <c r="H11" s="119"/>
      <c r="I11" s="119"/>
      <c r="J11" s="119"/>
      <c r="K11" s="119"/>
      <c r="L11" s="125"/>
      <c r="M11" s="126"/>
      <c r="N11" s="126"/>
      <c r="O11" s="126"/>
    </row>
    <row r="12" spans="1:12" ht="14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L12" s="111"/>
    </row>
    <row r="13" spans="1:12" ht="14.25" customHeight="1">
      <c r="A13" s="127" t="s">
        <v>262</v>
      </c>
      <c r="B13" s="118"/>
      <c r="C13" s="128"/>
      <c r="D13" s="129"/>
      <c r="E13" s="118"/>
      <c r="F13" s="130" t="s">
        <v>263</v>
      </c>
      <c r="J13" s="118"/>
      <c r="L13" s="131" t="s">
        <v>264</v>
      </c>
    </row>
    <row r="14" spans="1:18" s="132" customFormat="1" ht="15" customHeight="1">
      <c r="A14" s="127" t="s">
        <v>265</v>
      </c>
      <c r="B14" s="118"/>
      <c r="C14" s="128"/>
      <c r="D14" s="129"/>
      <c r="E14" s="118"/>
      <c r="F14" s="110" t="s">
        <v>266</v>
      </c>
      <c r="G14" s="110"/>
      <c r="H14" s="110"/>
      <c r="J14" s="118"/>
      <c r="K14" s="110"/>
      <c r="L14" s="131" t="s">
        <v>267</v>
      </c>
      <c r="M14" s="110"/>
      <c r="N14" s="110"/>
      <c r="R14" s="118"/>
    </row>
    <row r="15" spans="1:18" s="132" customFormat="1" ht="15" customHeight="1">
      <c r="A15" s="118"/>
      <c r="B15" s="118"/>
      <c r="C15" s="128"/>
      <c r="D15" s="129"/>
      <c r="E15" s="118"/>
      <c r="F15" s="132" t="s">
        <v>268</v>
      </c>
      <c r="G15" s="133">
        <v>5</v>
      </c>
      <c r="J15" s="118"/>
      <c r="K15" s="110"/>
      <c r="L15" s="134" t="s">
        <v>269</v>
      </c>
      <c r="M15" s="110"/>
      <c r="N15" s="110"/>
      <c r="R15" s="118"/>
    </row>
    <row r="16" spans="1:18" s="132" customFormat="1" ht="15" customHeight="1">
      <c r="A16" s="135" t="s">
        <v>270</v>
      </c>
      <c r="B16" s="136"/>
      <c r="C16" s="132" t="s">
        <v>0</v>
      </c>
      <c r="D16" s="137">
        <f aca="true" t="shared" si="0" ref="D16:D25">IF(ISBLANK(B16),"",1*B16)</f>
      </c>
      <c r="E16" s="138"/>
      <c r="J16" s="118"/>
      <c r="K16" s="110"/>
      <c r="L16" s="111" t="s">
        <v>271</v>
      </c>
      <c r="R16" s="139"/>
    </row>
    <row r="17" spans="1:18" s="132" customFormat="1" ht="15" customHeight="1">
      <c r="A17" s="135" t="s">
        <v>272</v>
      </c>
      <c r="B17" s="136"/>
      <c r="C17" s="132" t="s">
        <v>0</v>
      </c>
      <c r="D17" s="137">
        <f t="shared" si="0"/>
      </c>
      <c r="E17" s="138"/>
      <c r="F17" s="118" t="s">
        <v>273</v>
      </c>
      <c r="G17" s="118"/>
      <c r="H17" s="118"/>
      <c r="J17" s="118"/>
      <c r="K17" s="110"/>
      <c r="L17" s="111" t="s">
        <v>274</v>
      </c>
      <c r="M17" s="110"/>
      <c r="N17" s="110"/>
      <c r="R17" s="118"/>
    </row>
    <row r="18" spans="1:18" ht="15" customHeight="1">
      <c r="A18" s="135" t="s">
        <v>275</v>
      </c>
      <c r="B18" s="136"/>
      <c r="C18" s="110" t="s">
        <v>0</v>
      </c>
      <c r="D18" s="137">
        <f t="shared" si="0"/>
      </c>
      <c r="E18" s="138"/>
      <c r="F18" s="118" t="s">
        <v>276</v>
      </c>
      <c r="G18" s="118"/>
      <c r="H18" s="118"/>
      <c r="J18" s="118"/>
      <c r="L18" s="111" t="s">
        <v>277</v>
      </c>
      <c r="R18" s="138"/>
    </row>
    <row r="19" spans="1:18" ht="15" customHeight="1">
      <c r="A19" s="135" t="s">
        <v>278</v>
      </c>
      <c r="B19" s="136"/>
      <c r="C19" s="110" t="s">
        <v>0</v>
      </c>
      <c r="D19" s="137">
        <f t="shared" si="0"/>
      </c>
      <c r="E19" s="138"/>
      <c r="F19" s="118" t="s">
        <v>294</v>
      </c>
      <c r="G19" s="118"/>
      <c r="H19" s="118"/>
      <c r="I19" s="138"/>
      <c r="J19" s="140"/>
      <c r="L19" s="111"/>
      <c r="R19" s="118"/>
    </row>
    <row r="20" spans="1:12" ht="15" customHeight="1">
      <c r="A20" s="135" t="s">
        <v>279</v>
      </c>
      <c r="B20" s="136"/>
      <c r="C20" s="110" t="s">
        <v>0</v>
      </c>
      <c r="D20" s="137">
        <f t="shared" si="0"/>
      </c>
      <c r="E20" s="118"/>
      <c r="J20" s="118"/>
      <c r="L20" s="141" t="s">
        <v>280</v>
      </c>
    </row>
    <row r="21" spans="1:13" ht="15" customHeight="1">
      <c r="A21" s="135" t="s">
        <v>281</v>
      </c>
      <c r="B21" s="136"/>
      <c r="C21" s="110" t="s">
        <v>0</v>
      </c>
      <c r="D21" s="137">
        <f t="shared" si="0"/>
      </c>
      <c r="E21" s="118"/>
      <c r="F21" s="142" t="s">
        <v>295</v>
      </c>
      <c r="G21" s="143"/>
      <c r="H21" s="118" t="s">
        <v>0</v>
      </c>
      <c r="J21" s="138"/>
      <c r="L21" s="111" t="s">
        <v>282</v>
      </c>
      <c r="M21" s="144">
        <f>COUNT(D16:D25)</f>
        <v>0</v>
      </c>
    </row>
    <row r="22" spans="1:13" ht="15" customHeight="1">
      <c r="A22" s="135" t="s">
        <v>283</v>
      </c>
      <c r="B22" s="136"/>
      <c r="C22" s="110" t="s">
        <v>0</v>
      </c>
      <c r="D22" s="137">
        <f t="shared" si="0"/>
      </c>
      <c r="E22" s="118"/>
      <c r="F22" s="142" t="s">
        <v>296</v>
      </c>
      <c r="G22" s="143"/>
      <c r="H22" s="139" t="s">
        <v>284</v>
      </c>
      <c r="J22" s="118"/>
      <c r="L22" s="111" t="s">
        <v>285</v>
      </c>
      <c r="M22" s="145">
        <f>IF(ISERROR(AVERAGE(D16:D25)),"",FIXED(AVERAGE(D16:D25),G15))</f>
      </c>
    </row>
    <row r="23" spans="1:13" ht="15" customHeight="1">
      <c r="A23" s="135" t="s">
        <v>286</v>
      </c>
      <c r="B23" s="136"/>
      <c r="C23" s="110" t="s">
        <v>0</v>
      </c>
      <c r="D23" s="137">
        <f t="shared" si="0"/>
      </c>
      <c r="E23" s="118"/>
      <c r="F23" s="127"/>
      <c r="G23" s="118"/>
      <c r="H23" s="118"/>
      <c r="J23" s="138"/>
      <c r="L23" s="111" t="s">
        <v>287</v>
      </c>
      <c r="M23" s="146">
        <f>IF(ISERROR(STDEV(D16:D25)),"",FIXED(STDEV(D16:D25),G15+1))</f>
      </c>
    </row>
    <row r="24" spans="1:12" ht="15" customHeight="1">
      <c r="A24" s="135" t="s">
        <v>288</v>
      </c>
      <c r="B24" s="147"/>
      <c r="C24" s="110" t="s">
        <v>0</v>
      </c>
      <c r="D24" s="137">
        <f t="shared" si="0"/>
      </c>
      <c r="E24" s="118"/>
      <c r="J24" s="138"/>
      <c r="K24" s="132"/>
      <c r="L24" s="111"/>
    </row>
    <row r="25" spans="1:12" ht="15" customHeight="1">
      <c r="A25" s="135" t="s">
        <v>289</v>
      </c>
      <c r="B25" s="147"/>
      <c r="C25" s="111" t="s">
        <v>0</v>
      </c>
      <c r="D25" s="137">
        <f t="shared" si="0"/>
      </c>
      <c r="E25" s="118"/>
      <c r="J25" s="148"/>
      <c r="L25" s="111"/>
    </row>
    <row r="26" spans="4:12" ht="14.25" customHeight="1">
      <c r="D26" s="137"/>
      <c r="E26" s="118"/>
      <c r="J26" s="148"/>
      <c r="L26" s="111"/>
    </row>
    <row r="27" spans="1:12" ht="14.25" customHeight="1">
      <c r="A27" s="126"/>
      <c r="B27" s="149"/>
      <c r="C27" s="126"/>
      <c r="D27" s="126"/>
      <c r="E27" s="126"/>
      <c r="F27" s="126"/>
      <c r="G27" s="126"/>
      <c r="H27" s="126"/>
      <c r="I27" s="126"/>
      <c r="J27" s="118"/>
      <c r="K27" s="118"/>
      <c r="L27" s="111"/>
    </row>
    <row r="28" spans="1:12" ht="12.75" customHeight="1">
      <c r="A28" s="118"/>
      <c r="B28" s="150"/>
      <c r="C28" s="118"/>
      <c r="D28" s="118"/>
      <c r="E28" s="118"/>
      <c r="F28" s="118"/>
      <c r="G28" s="118"/>
      <c r="H28" s="118"/>
      <c r="I28" s="118"/>
      <c r="J28" s="118"/>
      <c r="K28" s="118"/>
      <c r="L28" s="111"/>
    </row>
    <row r="29" spans="1:12" ht="15">
      <c r="A29" s="151" t="s">
        <v>290</v>
      </c>
      <c r="B29" s="118"/>
      <c r="C29" s="118"/>
      <c r="D29" s="118"/>
      <c r="E29" s="118"/>
      <c r="F29" s="118"/>
      <c r="G29" s="118"/>
      <c r="H29" s="118"/>
      <c r="I29" s="118"/>
      <c r="J29" s="118"/>
      <c r="L29" s="111"/>
    </row>
    <row r="30" spans="1:12" ht="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L30" s="111"/>
    </row>
    <row r="31" spans="1:12" ht="14.25" customHeight="1">
      <c r="A31" s="118" t="s">
        <v>291</v>
      </c>
      <c r="B31" s="118"/>
      <c r="C31" s="118"/>
      <c r="D31" s="118"/>
      <c r="E31" s="118"/>
      <c r="F31" s="118"/>
      <c r="G31" s="118"/>
      <c r="H31" s="118"/>
      <c r="I31" s="118"/>
      <c r="J31" s="118"/>
      <c r="L31" s="111"/>
    </row>
    <row r="32" spans="1:12" ht="24" customHeight="1">
      <c r="A32" s="152"/>
      <c r="B32" s="118"/>
      <c r="C32" s="118"/>
      <c r="D32" s="118"/>
      <c r="E32" s="118"/>
      <c r="F32" s="118"/>
      <c r="G32" s="118"/>
      <c r="H32" s="118"/>
      <c r="I32" s="118"/>
      <c r="J32" s="118"/>
      <c r="L32" s="111"/>
    </row>
    <row r="33" spans="1:12" ht="12.75" customHeight="1">
      <c r="A33" s="152" t="s">
        <v>292</v>
      </c>
      <c r="B33" s="118"/>
      <c r="C33" s="118"/>
      <c r="D33" s="118"/>
      <c r="E33" s="118"/>
      <c r="F33" s="118"/>
      <c r="G33" s="118"/>
      <c r="H33" s="118"/>
      <c r="I33" s="118"/>
      <c r="J33" s="118"/>
      <c r="L33" s="111"/>
    </row>
    <row r="34" spans="1:12" ht="24" customHeight="1" thickBot="1">
      <c r="A34" s="153">
        <f>IF(M21&lt;10,"",IF(OR(ISBLANK(G21),ISBLANK(G22)),M22&amp;"g     ± "&amp;" ???",M22&amp;"g     ± "&amp;FIXED(2*((M23*1000)^2+((G21+G22*M22)/2*1000)^2)^0.5,G15-2)&amp;" mg"))</f>
      </c>
      <c r="B34" s="154"/>
      <c r="C34" s="154"/>
      <c r="D34" s="118"/>
      <c r="E34" s="118"/>
      <c r="F34" s="118" t="str">
        <f>IF(M21&lt;10,"Bitte 10 ermittelte Wägewerte angeben",IF(AND(ISBLANK(G21),ISBLANK(G22)),"ACHTUNG: Die Kalibrierdaten der Waage fehlen!",IF(OR(ISBLANK(G21),ISBLANK(G22)),"ACHTUNG: Die Kalibrierdaten der Waage sind unvollständig!","")))</f>
        <v>Bitte 10 ermittelte Wägewerte angeben</v>
      </c>
      <c r="G34" s="118"/>
      <c r="H34" s="118"/>
      <c r="I34" s="118"/>
      <c r="J34" s="118"/>
      <c r="L34" s="111"/>
    </row>
    <row r="35" spans="1:13" ht="14.25" customHeight="1" thickTop="1">
      <c r="A35" s="316">
        <f>IF(OR(M21&lt;10,ISBLANK(G21),ISBLANK(G22)),"","Die angegebene Messunsicherheit bezieht sich auf die Kombination aus Massestück und angewendeter Waage.")</f>
      </c>
      <c r="B35" s="317"/>
      <c r="C35" s="317"/>
      <c r="D35" s="317"/>
      <c r="E35" s="317"/>
      <c r="F35" s="317"/>
      <c r="G35" s="317"/>
      <c r="H35" s="317"/>
      <c r="I35" s="317"/>
      <c r="J35" s="118"/>
      <c r="L35" s="111"/>
      <c r="M35" s="132"/>
    </row>
    <row r="36" spans="1:13" ht="14.25" customHeight="1">
      <c r="A36" s="152"/>
      <c r="B36" s="118"/>
      <c r="C36" s="118"/>
      <c r="D36" s="118"/>
      <c r="E36" s="118"/>
      <c r="F36" s="118"/>
      <c r="G36" s="118"/>
      <c r="H36" s="118"/>
      <c r="I36" s="118"/>
      <c r="J36" s="118"/>
      <c r="L36" s="111"/>
      <c r="M36" s="132"/>
    </row>
    <row r="37" spans="1:13" ht="14.25" customHeight="1">
      <c r="A37" s="152"/>
      <c r="B37" s="118"/>
      <c r="C37" s="118"/>
      <c r="D37" s="118"/>
      <c r="E37" s="118"/>
      <c r="F37" s="118"/>
      <c r="G37" s="118"/>
      <c r="H37" s="118"/>
      <c r="I37" s="118"/>
      <c r="J37" s="118"/>
      <c r="L37" s="111"/>
      <c r="M37" s="132"/>
    </row>
    <row r="38" spans="1:13" ht="14.25" customHeight="1">
      <c r="A38" s="152"/>
      <c r="B38" s="118"/>
      <c r="C38" s="118"/>
      <c r="D38" s="118"/>
      <c r="E38" s="118"/>
      <c r="F38" s="118"/>
      <c r="G38" s="118"/>
      <c r="H38" s="118"/>
      <c r="I38" s="118"/>
      <c r="J38" s="118"/>
      <c r="L38" s="111"/>
      <c r="M38" s="132"/>
    </row>
    <row r="39" spans="1:13" ht="14.25" customHeight="1">
      <c r="A39" s="152"/>
      <c r="B39" s="152"/>
      <c r="C39" s="155"/>
      <c r="D39" s="155"/>
      <c r="E39" s="118"/>
      <c r="F39" s="118"/>
      <c r="G39" s="118"/>
      <c r="H39" s="118"/>
      <c r="I39" s="118"/>
      <c r="J39" s="118"/>
      <c r="L39" s="111"/>
      <c r="M39" s="132"/>
    </row>
    <row r="40" spans="1:12" ht="409.5">
      <c r="A40" s="108" t="s">
        <v>293</v>
      </c>
      <c r="B40" s="108"/>
      <c r="C40" s="118"/>
      <c r="D40" s="118"/>
      <c r="E40" s="118"/>
      <c r="F40" s="118"/>
      <c r="G40" s="118"/>
      <c r="H40" s="118"/>
      <c r="I40" s="118"/>
      <c r="J40" s="118"/>
      <c r="L40" s="111"/>
    </row>
    <row r="41" spans="3:12" ht="14.25" customHeight="1">
      <c r="C41" s="118"/>
      <c r="D41" s="118"/>
      <c r="E41" s="118"/>
      <c r="L41" s="111"/>
    </row>
    <row r="42" spans="1:13" ht="14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19"/>
      <c r="M42" s="118"/>
    </row>
    <row r="43" spans="3:13" ht="409.5">
      <c r="C43" s="118"/>
      <c r="D43" s="118"/>
      <c r="E43" s="118"/>
      <c r="F43" s="119"/>
      <c r="G43" s="119"/>
      <c r="H43" s="119"/>
      <c r="I43" s="119"/>
      <c r="J43" s="119"/>
      <c r="K43" s="119"/>
      <c r="L43" s="119"/>
      <c r="M43" s="118"/>
    </row>
    <row r="44" spans="3:13" s="132" customFormat="1" ht="21.75" customHeight="1">
      <c r="C44" s="138"/>
      <c r="D44" s="138"/>
      <c r="E44" s="138"/>
      <c r="F44" s="119"/>
      <c r="G44" s="119"/>
      <c r="H44" s="119"/>
      <c r="I44" s="119"/>
      <c r="J44" s="119"/>
      <c r="K44" s="119"/>
      <c r="L44" s="110"/>
      <c r="M44" s="110"/>
    </row>
    <row r="45" ht="21" customHeight="1"/>
    <row r="46" ht="6" customHeight="1"/>
    <row r="47" spans="5:13" s="118" customFormat="1" ht="19.5" customHeight="1">
      <c r="E47" s="119"/>
      <c r="F47" s="110"/>
      <c r="G47" s="110"/>
      <c r="H47" s="110"/>
      <c r="I47" s="110"/>
      <c r="J47" s="110"/>
      <c r="K47" s="110"/>
      <c r="L47" s="110"/>
      <c r="M47" s="110"/>
    </row>
    <row r="48" spans="5:13" s="118" customFormat="1" ht="15.75" customHeight="1">
      <c r="E48" s="119"/>
      <c r="F48" s="110"/>
      <c r="G48" s="110"/>
      <c r="H48" s="110"/>
      <c r="I48" s="110"/>
      <c r="J48" s="110"/>
      <c r="K48" s="110"/>
      <c r="L48" s="110"/>
      <c r="M48" s="110"/>
    </row>
    <row r="49" ht="10.5" customHeight="1"/>
    <row r="50" ht="14.25" customHeight="1"/>
    <row r="51" ht="14.25" customHeight="1"/>
    <row r="52" ht="12.75" customHeight="1"/>
    <row r="53" ht="12.75" customHeight="1"/>
    <row r="54" ht="6" customHeight="1"/>
    <row r="55" ht="12.75" customHeight="1"/>
    <row r="56" ht="6" customHeight="1"/>
    <row r="57" ht="12.75" customHeight="1"/>
    <row r="58" ht="12.75" customHeight="1"/>
    <row r="59" ht="16.5" customHeight="1"/>
    <row r="60" ht="6" customHeight="1"/>
    <row r="61" ht="16.5" customHeight="1"/>
    <row r="62" ht="14.25" customHeight="1"/>
    <row r="63" ht="14.25" customHeight="1"/>
    <row r="64" ht="14.25" customHeight="1"/>
    <row r="65" ht="14.25" customHeight="1"/>
  </sheetData>
  <sheetProtection sheet="1" objects="1" scenarios="1" selectLockedCells="1"/>
  <mergeCells count="4">
    <mergeCell ref="A35:I35"/>
    <mergeCell ref="C1:G3"/>
    <mergeCell ref="I3:J3"/>
    <mergeCell ref="A1:B2"/>
  </mergeCells>
  <conditionalFormatting sqref="A35 A38:A39 B39:D39">
    <cfRule type="cellIs" priority="1" dxfId="5" operator="equal" stopIfTrue="1">
      <formula>"Die Masse des Prüfgegenstandes liegt außerhalb der Toleranzanforderung"</formula>
    </cfRule>
    <cfRule type="cellIs" priority="2" dxfId="4" operator="equal" stopIfTrue="1">
      <formula>"Die Masse des Prüfgegenstandes erfüllt die Toleranzanforderung"</formula>
    </cfRule>
  </conditionalFormatting>
  <conditionalFormatting sqref="A34">
    <cfRule type="cellIs" priority="3" dxfId="5" operator="equal" stopIfTrue="1">
      <formula>"Die Masse des geprüften Massestückes liegt außerhalb der Toleranzanforderung"</formula>
    </cfRule>
    <cfRule type="cellIs" priority="4" dxfId="4" operator="equal" stopIfTrue="1">
      <formula>"Die Masse des geprüften Massestückes erfüllt die Toleranzanforderung"</formula>
    </cfRule>
  </conditionalFormatting>
  <conditionalFormatting sqref="A36:A37">
    <cfRule type="cellIs" priority="5" dxfId="5" operator="equal" stopIfTrue="1">
      <formula>"Die Masse des Prüfgegenstandes liegt außerhalb der Toleranzanforderung"</formula>
    </cfRule>
    <cfRule type="cellIs" priority="6" dxfId="4" operator="equal" stopIfTrue="1">
      <formula>"Die Masse des Prüfgegenstandes erfüllt die Toleranzanforderung"</formula>
    </cfRule>
  </conditionalFormatting>
  <printOptions/>
  <pageMargins left="0.7874015748031497" right="0.1968503937007874" top="0.3937007874015748" bottom="0.984251968503937" header="0.3937007874015748" footer="0.5118110236220472"/>
  <pageSetup horizontalDpi="600" verticalDpi="600" orientation="portrait" paperSize="9" r:id="rId2"/>
  <headerFooter alignWithMargins="0">
    <oddFooter>&amp;R&amp;8&amp;F;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5.7109375" style="157" customWidth="1"/>
    <col min="2" max="10" width="12.7109375" style="157" customWidth="1"/>
    <col min="11" max="16384" width="9.140625" style="157" customWidth="1"/>
  </cols>
  <sheetData>
    <row r="1" ht="21">
      <c r="A1" s="156" t="s">
        <v>153</v>
      </c>
    </row>
    <row r="2" ht="18" customHeight="1">
      <c r="A2" s="158" t="s">
        <v>154</v>
      </c>
    </row>
    <row r="3" ht="14.25">
      <c r="A3" s="158" t="s">
        <v>155</v>
      </c>
    </row>
    <row r="4" ht="14.25">
      <c r="A4" s="158" t="s">
        <v>156</v>
      </c>
    </row>
    <row r="5" ht="15">
      <c r="A5" s="159" t="s">
        <v>157</v>
      </c>
    </row>
    <row r="6" ht="15">
      <c r="A6" s="159"/>
    </row>
    <row r="7" spans="1:3" ht="18" customHeight="1">
      <c r="A7" s="157" t="s">
        <v>158</v>
      </c>
      <c r="B7" s="160"/>
      <c r="C7" s="157" t="s">
        <v>159</v>
      </c>
    </row>
    <row r="8" spans="1:3" ht="18" customHeight="1">
      <c r="A8" s="157" t="s">
        <v>160</v>
      </c>
      <c r="B8" s="161"/>
      <c r="C8" s="157" t="s">
        <v>161</v>
      </c>
    </row>
    <row r="9" ht="12.75" customHeight="1"/>
    <row r="10" spans="1:4" ht="18" customHeight="1" thickBot="1">
      <c r="A10" s="162" t="s">
        <v>162</v>
      </c>
      <c r="B10" s="163">
        <f>IF(OR(ISBLANK(B7),ISBLANK(B8)),"",B8*(1-1.2/8000)/(1-1.2/B7/1000))</f>
      </c>
      <c r="C10" s="162" t="s">
        <v>161</v>
      </c>
      <c r="D10" s="164"/>
    </row>
    <row r="11" ht="6" customHeight="1" thickTop="1"/>
    <row r="12" ht="14.25">
      <c r="A12" s="165">
        <f>IF(OR(ISBLANK(B7),ISBLANK(B8)),"","=&gt; Abweichung zum Anzeigewert: "&amp;FIXED(ABS(B8-B10)/B8*100,2)&amp;" %")</f>
      </c>
    </row>
    <row r="13" ht="15">
      <c r="A13" s="159" t="s">
        <v>297</v>
      </c>
    </row>
    <row r="14" spans="1:11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6" spans="1:10" ht="31.5" thickBot="1">
      <c r="A16" s="162" t="s">
        <v>163</v>
      </c>
      <c r="C16" s="167" t="s">
        <v>164</v>
      </c>
      <c r="D16" s="168" t="s">
        <v>165</v>
      </c>
      <c r="E16" s="169" t="s">
        <v>164</v>
      </c>
      <c r="F16" s="168" t="s">
        <v>165</v>
      </c>
      <c r="G16" s="169" t="s">
        <v>164</v>
      </c>
      <c r="H16" s="168" t="s">
        <v>165</v>
      </c>
      <c r="I16" s="169" t="s">
        <v>164</v>
      </c>
      <c r="J16" s="170" t="s">
        <v>165</v>
      </c>
    </row>
    <row r="17" spans="3:10" ht="13.5" customHeight="1">
      <c r="C17" s="171" t="s">
        <v>166</v>
      </c>
      <c r="D17" s="172">
        <v>2.71</v>
      </c>
      <c r="E17" s="173" t="s">
        <v>167</v>
      </c>
      <c r="F17" s="174" t="s">
        <v>168</v>
      </c>
      <c r="G17" s="175" t="s">
        <v>169</v>
      </c>
      <c r="H17" s="172" t="s">
        <v>170</v>
      </c>
      <c r="I17" s="173" t="s">
        <v>171</v>
      </c>
      <c r="J17" s="176">
        <v>12.4</v>
      </c>
    </row>
    <row r="18" spans="3:10" ht="13.5" customHeight="1">
      <c r="C18" s="177" t="s">
        <v>172</v>
      </c>
      <c r="D18" s="178" t="s">
        <v>173</v>
      </c>
      <c r="E18" s="179" t="s">
        <v>174</v>
      </c>
      <c r="F18" s="178">
        <v>2.3</v>
      </c>
      <c r="G18" s="179" t="s">
        <v>175</v>
      </c>
      <c r="H18" s="178">
        <v>8.91</v>
      </c>
      <c r="I18" s="173" t="s">
        <v>176</v>
      </c>
      <c r="J18" s="176">
        <v>2.4</v>
      </c>
    </row>
    <row r="19" spans="3:10" ht="13.5" customHeight="1">
      <c r="C19" s="177" t="s">
        <v>177</v>
      </c>
      <c r="D19" s="178" t="s">
        <v>178</v>
      </c>
      <c r="E19" s="179" t="s">
        <v>179</v>
      </c>
      <c r="F19" s="178">
        <v>2.8</v>
      </c>
      <c r="G19" s="179" t="s">
        <v>180</v>
      </c>
      <c r="H19" s="178">
        <v>22.61</v>
      </c>
      <c r="I19" s="179" t="s">
        <v>181</v>
      </c>
      <c r="J19" s="180" t="s">
        <v>182</v>
      </c>
    </row>
    <row r="20" spans="3:10" ht="13.5" customHeight="1">
      <c r="C20" s="177" t="s">
        <v>183</v>
      </c>
      <c r="D20" s="178">
        <v>11.34</v>
      </c>
      <c r="E20" s="179" t="s">
        <v>184</v>
      </c>
      <c r="F20" s="178" t="s">
        <v>185</v>
      </c>
      <c r="G20" s="179" t="s">
        <v>186</v>
      </c>
      <c r="H20" s="178">
        <v>12</v>
      </c>
      <c r="I20" s="179" t="s">
        <v>187</v>
      </c>
      <c r="J20" s="180">
        <v>10.49</v>
      </c>
    </row>
    <row r="21" spans="3:10" ht="13.5" customHeight="1">
      <c r="C21" s="177" t="s">
        <v>188</v>
      </c>
      <c r="D21" s="178">
        <v>8.64</v>
      </c>
      <c r="E21" s="179" t="s">
        <v>189</v>
      </c>
      <c r="F21" s="178">
        <v>7.25</v>
      </c>
      <c r="G21" s="179" t="s">
        <v>190</v>
      </c>
      <c r="H21" s="178" t="s">
        <v>191</v>
      </c>
      <c r="I21" s="179" t="s">
        <v>192</v>
      </c>
      <c r="J21" s="180">
        <v>2.33</v>
      </c>
    </row>
    <row r="22" spans="3:10" ht="13.5" customHeight="1">
      <c r="C22" s="177" t="s">
        <v>193</v>
      </c>
      <c r="D22" s="178">
        <v>7.2</v>
      </c>
      <c r="E22" s="179" t="s">
        <v>194</v>
      </c>
      <c r="F22" s="178" t="s">
        <v>195</v>
      </c>
      <c r="G22" s="179" t="s">
        <v>196</v>
      </c>
      <c r="H22" s="178" t="s">
        <v>197</v>
      </c>
      <c r="I22" s="179" t="s">
        <v>198</v>
      </c>
      <c r="J22" s="180">
        <v>7.9</v>
      </c>
    </row>
    <row r="23" spans="3:10" ht="13.5" customHeight="1">
      <c r="C23" s="181" t="s">
        <v>199</v>
      </c>
      <c r="D23" s="182">
        <v>8</v>
      </c>
      <c r="E23" s="179" t="s">
        <v>200</v>
      </c>
      <c r="F23" s="178">
        <v>3.51</v>
      </c>
      <c r="G23" s="179" t="s">
        <v>201</v>
      </c>
      <c r="H23" s="178">
        <v>1.35</v>
      </c>
      <c r="I23" s="179" t="s">
        <v>202</v>
      </c>
      <c r="J23" s="180">
        <v>1.35</v>
      </c>
    </row>
    <row r="24" spans="3:10" ht="13.5" customHeight="1">
      <c r="C24" s="177" t="s">
        <v>203</v>
      </c>
      <c r="D24" s="178" t="s">
        <v>191</v>
      </c>
      <c r="E24" s="179" t="s">
        <v>200</v>
      </c>
      <c r="F24" s="178">
        <v>2.25</v>
      </c>
      <c r="G24" s="179" t="s">
        <v>204</v>
      </c>
      <c r="H24" s="178">
        <v>1.82</v>
      </c>
      <c r="I24" s="179" t="s">
        <v>205</v>
      </c>
      <c r="J24" s="180" t="s">
        <v>206</v>
      </c>
    </row>
    <row r="25" spans="3:10" ht="13.5" customHeight="1">
      <c r="C25" s="177" t="s">
        <v>207</v>
      </c>
      <c r="D25" s="178">
        <v>0.92</v>
      </c>
      <c r="E25" s="179" t="s">
        <v>208</v>
      </c>
      <c r="F25" s="178" t="s">
        <v>209</v>
      </c>
      <c r="G25" s="179" t="s">
        <v>210</v>
      </c>
      <c r="H25" s="178">
        <v>21.45</v>
      </c>
      <c r="I25" s="179" t="s">
        <v>211</v>
      </c>
      <c r="J25" s="180" t="s">
        <v>212</v>
      </c>
    </row>
    <row r="26" spans="3:10" ht="13.5" customHeight="1">
      <c r="C26" s="177" t="s">
        <v>213</v>
      </c>
      <c r="D26" s="178">
        <v>7.86</v>
      </c>
      <c r="E26" s="179" t="s">
        <v>214</v>
      </c>
      <c r="F26" s="178" t="s">
        <v>215</v>
      </c>
      <c r="G26" s="179" t="s">
        <v>216</v>
      </c>
      <c r="H26" s="178">
        <v>1.19</v>
      </c>
      <c r="I26" s="179" t="s">
        <v>217</v>
      </c>
      <c r="J26" s="180">
        <v>7.13</v>
      </c>
    </row>
    <row r="27" spans="3:10" ht="13.5" customHeight="1">
      <c r="C27" s="177" t="s">
        <v>218</v>
      </c>
      <c r="D27" s="178">
        <v>5.1</v>
      </c>
      <c r="E27" s="179" t="s">
        <v>219</v>
      </c>
      <c r="F27" s="178">
        <v>1.73</v>
      </c>
      <c r="G27" s="179" t="s">
        <v>220</v>
      </c>
      <c r="H27" s="178" t="s">
        <v>221</v>
      </c>
      <c r="I27" s="179" t="s">
        <v>222</v>
      </c>
      <c r="J27" s="180">
        <v>7.28</v>
      </c>
    </row>
    <row r="28" spans="3:8" ht="13.5" customHeight="1">
      <c r="C28" s="177" t="s">
        <v>223</v>
      </c>
      <c r="D28" s="178">
        <v>7.7</v>
      </c>
      <c r="E28" s="179" t="s">
        <v>224</v>
      </c>
      <c r="F28" s="178">
        <v>7.43</v>
      </c>
      <c r="G28" s="179" t="s">
        <v>225</v>
      </c>
      <c r="H28" s="178">
        <v>2.2</v>
      </c>
    </row>
    <row r="29" spans="3:8" ht="13.5" customHeight="1">
      <c r="C29" s="177" t="s">
        <v>226</v>
      </c>
      <c r="D29" s="178" t="s">
        <v>227</v>
      </c>
      <c r="E29" s="183" t="s">
        <v>228</v>
      </c>
      <c r="F29" s="184" t="s">
        <v>229</v>
      </c>
      <c r="G29" s="179" t="s">
        <v>230</v>
      </c>
      <c r="H29" s="178">
        <v>21.04</v>
      </c>
    </row>
    <row r="30" ht="13.5" customHeight="1">
      <c r="C30" s="185" t="s">
        <v>231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1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P50"/>
  <sheetViews>
    <sheetView zoomScalePageLayoutView="0" workbookViewId="0" topLeftCell="A1">
      <selection activeCell="D1" sqref="D1"/>
    </sheetView>
  </sheetViews>
  <sheetFormatPr defaultColWidth="11.421875" defaultRowHeight="15" customHeight="1"/>
  <cols>
    <col min="1" max="11" width="13.7109375" style="225" customWidth="1"/>
    <col min="12" max="12" width="8.8515625" style="225" customWidth="1"/>
    <col min="13" max="16384" width="11.421875" style="225" customWidth="1"/>
  </cols>
  <sheetData>
    <row r="1" s="223" customFormat="1" ht="19.5" customHeight="1">
      <c r="A1" s="222" t="s">
        <v>372</v>
      </c>
    </row>
    <row r="2" s="223" customFormat="1" ht="6" customHeight="1">
      <c r="A2" s="222"/>
    </row>
    <row r="3" spans="1:3" s="223" customFormat="1" ht="12.75">
      <c r="A3" s="251" t="s">
        <v>403</v>
      </c>
      <c r="B3" s="227">
        <v>210</v>
      </c>
      <c r="C3" s="251" t="s">
        <v>0</v>
      </c>
    </row>
    <row r="4" spans="1:3" s="223" customFormat="1" ht="15" customHeight="1">
      <c r="A4" s="251" t="s">
        <v>404</v>
      </c>
      <c r="B4" s="228">
        <v>0.1</v>
      </c>
      <c r="C4" s="251" t="s">
        <v>151</v>
      </c>
    </row>
    <row r="5" spans="1:10" ht="15" customHeight="1">
      <c r="A5" s="224" t="s">
        <v>352</v>
      </c>
      <c r="E5" s="224" t="s">
        <v>350</v>
      </c>
      <c r="J5" s="224" t="s">
        <v>148</v>
      </c>
    </row>
    <row r="6" spans="1:10" ht="15" customHeight="1">
      <c r="A6" s="225" t="s">
        <v>357</v>
      </c>
      <c r="B6" s="225" t="s">
        <v>380</v>
      </c>
      <c r="E6" s="226" t="s">
        <v>347</v>
      </c>
      <c r="J6" s="225" t="s">
        <v>334</v>
      </c>
    </row>
    <row r="7" spans="1:12" ht="15" customHeight="1">
      <c r="A7" s="225" t="s">
        <v>358</v>
      </c>
      <c r="B7" s="227">
        <v>200</v>
      </c>
      <c r="C7" s="225" t="s">
        <v>0</v>
      </c>
      <c r="E7" s="225" t="s">
        <v>358</v>
      </c>
      <c r="F7" s="225">
        <v>200</v>
      </c>
      <c r="G7" s="225" t="s">
        <v>0</v>
      </c>
      <c r="J7" s="225" t="s">
        <v>332</v>
      </c>
      <c r="K7" s="227">
        <v>100</v>
      </c>
      <c r="L7" s="225" t="s">
        <v>0</v>
      </c>
    </row>
    <row r="8" spans="1:11" ht="15" customHeight="1">
      <c r="A8" s="225" t="s">
        <v>343</v>
      </c>
      <c r="B8" s="228">
        <v>200.0001</v>
      </c>
      <c r="C8" s="225" t="s">
        <v>0</v>
      </c>
      <c r="E8" s="225" t="s">
        <v>359</v>
      </c>
      <c r="F8" s="227">
        <v>0.1</v>
      </c>
      <c r="G8" s="225" t="s">
        <v>151</v>
      </c>
      <c r="K8" s="225" t="s">
        <v>326</v>
      </c>
    </row>
    <row r="9" spans="1:11" ht="15" customHeight="1">
      <c r="A9" s="225" t="s">
        <v>341</v>
      </c>
      <c r="B9" s="228">
        <v>200.0002</v>
      </c>
      <c r="C9" s="225" t="s">
        <v>0</v>
      </c>
      <c r="F9" s="227">
        <v>0.0265</v>
      </c>
      <c r="G9" s="225" t="s">
        <v>151</v>
      </c>
      <c r="J9" s="225" t="s">
        <v>319</v>
      </c>
      <c r="K9" s="229" t="s">
        <v>376</v>
      </c>
    </row>
    <row r="10" spans="5:11" ht="15" customHeight="1">
      <c r="E10" s="262"/>
      <c r="J10" s="225" t="s">
        <v>317</v>
      </c>
      <c r="K10" s="229" t="s">
        <v>377</v>
      </c>
    </row>
    <row r="11" spans="1:11" ht="15" customHeight="1">
      <c r="A11" s="224" t="s">
        <v>351</v>
      </c>
      <c r="J11" s="225" t="s">
        <v>315</v>
      </c>
      <c r="K11" s="229" t="s">
        <v>378</v>
      </c>
    </row>
    <row r="12" spans="1:11" ht="15" customHeight="1">
      <c r="A12" s="225" t="s">
        <v>360</v>
      </c>
      <c r="B12" s="227">
        <v>2</v>
      </c>
      <c r="C12" s="225" t="s">
        <v>361</v>
      </c>
      <c r="J12" s="225" t="s">
        <v>313</v>
      </c>
      <c r="K12" s="229" t="s">
        <v>379</v>
      </c>
    </row>
    <row r="13" spans="1:11" ht="15" customHeight="1">
      <c r="A13" s="225" t="s">
        <v>362</v>
      </c>
      <c r="B13" s="227">
        <v>1.5</v>
      </c>
      <c r="C13" s="225" t="s">
        <v>345</v>
      </c>
      <c r="J13" s="225" t="s">
        <v>311</v>
      </c>
      <c r="K13" s="229" t="s">
        <v>376</v>
      </c>
    </row>
    <row r="15" spans="1:15" ht="15" customHeight="1">
      <c r="A15" s="224" t="s">
        <v>337</v>
      </c>
      <c r="E15" s="224" t="s">
        <v>336</v>
      </c>
      <c r="J15" s="263" t="s">
        <v>368</v>
      </c>
      <c r="K15" s="264"/>
      <c r="L15" s="265"/>
      <c r="M15" s="266" t="s">
        <v>409</v>
      </c>
      <c r="N15" s="267"/>
      <c r="O15" s="267"/>
    </row>
    <row r="16" spans="1:15" ht="15" customHeight="1">
      <c r="A16" s="225" t="s">
        <v>334</v>
      </c>
      <c r="E16" s="225" t="s">
        <v>335</v>
      </c>
      <c r="J16" s="268" t="s">
        <v>410</v>
      </c>
      <c r="K16" s="269">
        <v>0.0030000000001991797</v>
      </c>
      <c r="L16" s="270" t="s">
        <v>411</v>
      </c>
      <c r="M16" s="271">
        <v>0.003</v>
      </c>
      <c r="N16" s="272" t="s">
        <v>411</v>
      </c>
      <c r="O16" s="267"/>
    </row>
    <row r="17" spans="1:15" ht="15" customHeight="1">
      <c r="A17" s="225" t="s">
        <v>332</v>
      </c>
      <c r="B17" s="227">
        <v>50</v>
      </c>
      <c r="C17" s="225" t="s">
        <v>0</v>
      </c>
      <c r="E17" s="225" t="s">
        <v>333</v>
      </c>
      <c r="F17" s="225" t="s">
        <v>435</v>
      </c>
      <c r="J17" s="273" t="s">
        <v>412</v>
      </c>
      <c r="K17" s="269">
        <v>0.001666666666666667</v>
      </c>
      <c r="L17" s="270" t="s">
        <v>411</v>
      </c>
      <c r="M17" s="274">
        <v>0.0017</v>
      </c>
      <c r="N17" s="272" t="s">
        <v>411</v>
      </c>
      <c r="O17" s="267"/>
    </row>
    <row r="18" spans="2:15" ht="15" customHeight="1">
      <c r="B18" s="225" t="s">
        <v>320</v>
      </c>
      <c r="E18" s="225" t="s">
        <v>327</v>
      </c>
      <c r="F18" s="225" t="s">
        <v>381</v>
      </c>
      <c r="J18" s="273" t="s">
        <v>413</v>
      </c>
      <c r="K18" s="269">
        <v>1.4814814815798419E-13</v>
      </c>
      <c r="L18" s="275"/>
      <c r="M18" s="274">
        <v>1.5E-13</v>
      </c>
      <c r="N18" s="265"/>
      <c r="O18" s="267"/>
    </row>
    <row r="19" spans="1:15" ht="15" customHeight="1">
      <c r="A19" s="225" t="s">
        <v>323</v>
      </c>
      <c r="B19" s="229" t="s">
        <v>374</v>
      </c>
      <c r="C19" s="225" t="s">
        <v>0</v>
      </c>
      <c r="F19" s="225" t="s">
        <v>322</v>
      </c>
      <c r="G19" s="225" t="s">
        <v>321</v>
      </c>
      <c r="H19" s="225" t="s">
        <v>320</v>
      </c>
      <c r="J19" s="273" t="s">
        <v>414</v>
      </c>
      <c r="K19" s="269">
        <v>2.5666666668370765E-12</v>
      </c>
      <c r="L19" s="275"/>
      <c r="M19" s="269">
        <v>2.58E-12</v>
      </c>
      <c r="N19" s="276" t="s">
        <v>438</v>
      </c>
      <c r="O19" s="267"/>
    </row>
    <row r="20" spans="1:15" ht="15" customHeight="1">
      <c r="A20" s="225" t="s">
        <v>318</v>
      </c>
      <c r="B20" s="229" t="s">
        <v>374</v>
      </c>
      <c r="C20" s="225" t="s">
        <v>0</v>
      </c>
      <c r="E20" s="225" t="s">
        <v>363</v>
      </c>
      <c r="F20" s="227">
        <v>0</v>
      </c>
      <c r="G20" s="227">
        <v>50</v>
      </c>
      <c r="H20" s="229" t="s">
        <v>375</v>
      </c>
      <c r="I20" s="225" t="s">
        <v>0</v>
      </c>
      <c r="J20" s="273" t="s">
        <v>415</v>
      </c>
      <c r="K20" s="269">
        <v>7.5E-13</v>
      </c>
      <c r="L20" s="275"/>
      <c r="M20" s="274">
        <v>7.5E-13</v>
      </c>
      <c r="N20" s="265"/>
      <c r="O20" s="267"/>
    </row>
    <row r="21" spans="1:15" ht="15" customHeight="1">
      <c r="A21" s="225" t="s">
        <v>316</v>
      </c>
      <c r="B21" s="229" t="s">
        <v>375</v>
      </c>
      <c r="C21" s="225" t="s">
        <v>0</v>
      </c>
      <c r="E21" s="225" t="s">
        <v>364</v>
      </c>
      <c r="F21" s="227">
        <v>50</v>
      </c>
      <c r="G21" s="227">
        <v>50</v>
      </c>
      <c r="H21" s="229" t="s">
        <v>375</v>
      </c>
      <c r="I21" s="225" t="s">
        <v>0</v>
      </c>
      <c r="J21" s="273" t="s">
        <v>416</v>
      </c>
      <c r="K21" s="277">
        <v>1E-13</v>
      </c>
      <c r="L21" s="278"/>
      <c r="M21" s="279">
        <v>1E-13</v>
      </c>
      <c r="N21" s="280"/>
      <c r="O21" s="267"/>
    </row>
    <row r="22" spans="1:15" ht="15" customHeight="1">
      <c r="A22" s="225" t="s">
        <v>314</v>
      </c>
      <c r="B22" s="229" t="s">
        <v>375</v>
      </c>
      <c r="C22" s="225" t="s">
        <v>0</v>
      </c>
      <c r="E22" s="225" t="s">
        <v>365</v>
      </c>
      <c r="F22" s="227">
        <v>100</v>
      </c>
      <c r="G22" s="227">
        <v>50</v>
      </c>
      <c r="H22" s="229" t="s">
        <v>374</v>
      </c>
      <c r="I22" s="225" t="s">
        <v>0</v>
      </c>
      <c r="J22" s="273" t="s">
        <v>417</v>
      </c>
      <c r="K22" s="281">
        <v>0.00013662601021571037</v>
      </c>
      <c r="L22" s="278"/>
      <c r="M22" s="281">
        <v>0.00014</v>
      </c>
      <c r="N22" s="280"/>
      <c r="O22" s="267"/>
    </row>
    <row r="23" spans="1:15" ht="15" customHeight="1">
      <c r="A23" s="225" t="s">
        <v>312</v>
      </c>
      <c r="B23" s="229" t="s">
        <v>374</v>
      </c>
      <c r="C23" s="225" t="s">
        <v>0</v>
      </c>
      <c r="E23" s="225" t="s">
        <v>366</v>
      </c>
      <c r="F23" s="227">
        <v>150</v>
      </c>
      <c r="G23" s="227">
        <v>50</v>
      </c>
      <c r="H23" s="229" t="s">
        <v>247</v>
      </c>
      <c r="I23" s="225" t="s">
        <v>0</v>
      </c>
      <c r="J23" s="273" t="s">
        <v>418</v>
      </c>
      <c r="K23" s="281">
        <v>0.000910290165119509</v>
      </c>
      <c r="L23" s="278"/>
      <c r="M23" s="281">
        <v>0.00091</v>
      </c>
      <c r="N23" s="280"/>
      <c r="O23" s="267"/>
    </row>
    <row r="24" spans="1:15" ht="15" customHeight="1">
      <c r="A24" s="225" t="s">
        <v>310</v>
      </c>
      <c r="B24" s="229" t="s">
        <v>375</v>
      </c>
      <c r="C24" s="225" t="s">
        <v>0</v>
      </c>
      <c r="E24" s="225" t="s">
        <v>367</v>
      </c>
      <c r="F24" s="227">
        <v>50</v>
      </c>
      <c r="G24" s="227">
        <v>50</v>
      </c>
      <c r="H24" s="229" t="s">
        <v>375</v>
      </c>
      <c r="I24" s="225" t="s">
        <v>0</v>
      </c>
      <c r="J24" s="282" t="s">
        <v>407</v>
      </c>
      <c r="K24" s="267" t="s">
        <v>408</v>
      </c>
      <c r="L24" s="283"/>
      <c r="M24" s="267" t="s">
        <v>419</v>
      </c>
      <c r="N24" s="267"/>
      <c r="O24" s="267"/>
    </row>
    <row r="25" spans="1:16" ht="15" customHeight="1" thickBo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="223" customFormat="1" ht="19.5" customHeight="1">
      <c r="A26" s="222" t="s">
        <v>373</v>
      </c>
    </row>
    <row r="27" s="223" customFormat="1" ht="6" customHeight="1">
      <c r="A27" s="222"/>
    </row>
    <row r="28" spans="1:3" s="223" customFormat="1" ht="15" customHeight="1">
      <c r="A28" s="251" t="s">
        <v>403</v>
      </c>
      <c r="B28" s="227">
        <v>3200</v>
      </c>
      <c r="C28" s="251" t="s">
        <v>0</v>
      </c>
    </row>
    <row r="29" spans="1:3" s="223" customFormat="1" ht="15" customHeight="1">
      <c r="A29" s="251" t="s">
        <v>404</v>
      </c>
      <c r="B29" s="228">
        <v>1000</v>
      </c>
      <c r="C29" s="251" t="s">
        <v>151</v>
      </c>
    </row>
    <row r="30" spans="1:10" ht="15" customHeight="1">
      <c r="A30" s="224" t="s">
        <v>352</v>
      </c>
      <c r="E30" s="224" t="s">
        <v>350</v>
      </c>
      <c r="J30" s="224" t="s">
        <v>148</v>
      </c>
    </row>
    <row r="31" spans="1:11" ht="15" customHeight="1">
      <c r="A31" s="225" t="s">
        <v>357</v>
      </c>
      <c r="B31" s="225" t="s">
        <v>369</v>
      </c>
      <c r="E31" s="226" t="s">
        <v>347</v>
      </c>
      <c r="J31" s="225" t="s">
        <v>334</v>
      </c>
      <c r="K31" s="225" t="s">
        <v>371</v>
      </c>
    </row>
    <row r="32" spans="1:12" ht="15" customHeight="1">
      <c r="A32" s="225" t="s">
        <v>358</v>
      </c>
      <c r="B32" s="227">
        <v>3000</v>
      </c>
      <c r="C32" s="225" t="s">
        <v>0</v>
      </c>
      <c r="E32" s="225" t="s">
        <v>358</v>
      </c>
      <c r="F32" s="225">
        <v>3000</v>
      </c>
      <c r="G32" s="225" t="s">
        <v>0</v>
      </c>
      <c r="J32" s="225" t="s">
        <v>332</v>
      </c>
      <c r="K32" s="227">
        <v>1000</v>
      </c>
      <c r="L32" s="225" t="s">
        <v>0</v>
      </c>
    </row>
    <row r="33" spans="1:11" ht="15" customHeight="1">
      <c r="A33" s="225" t="s">
        <v>343</v>
      </c>
      <c r="B33" s="228">
        <v>3000</v>
      </c>
      <c r="C33" s="225" t="s">
        <v>0</v>
      </c>
      <c r="E33" s="225" t="s">
        <v>359</v>
      </c>
      <c r="F33" s="227">
        <v>30</v>
      </c>
      <c r="G33" s="225" t="s">
        <v>151</v>
      </c>
      <c r="K33" s="225" t="s">
        <v>326</v>
      </c>
    </row>
    <row r="34" spans="1:11" ht="15" customHeight="1">
      <c r="A34" s="225" t="s">
        <v>341</v>
      </c>
      <c r="B34" s="228">
        <v>3001</v>
      </c>
      <c r="C34" s="225" t="s">
        <v>0</v>
      </c>
      <c r="F34" s="227">
        <v>15</v>
      </c>
      <c r="G34" s="225" t="s">
        <v>151</v>
      </c>
      <c r="J34" s="225" t="s">
        <v>319</v>
      </c>
      <c r="K34" s="228">
        <v>1000</v>
      </c>
    </row>
    <row r="35" spans="10:11" ht="15" customHeight="1">
      <c r="J35" s="225" t="s">
        <v>317</v>
      </c>
      <c r="K35" s="228">
        <v>1000</v>
      </c>
    </row>
    <row r="36" spans="1:11" ht="15" customHeight="1">
      <c r="A36" s="224" t="s">
        <v>351</v>
      </c>
      <c r="J36" s="225" t="s">
        <v>315</v>
      </c>
      <c r="K36" s="228">
        <v>1001</v>
      </c>
    </row>
    <row r="37" spans="1:11" ht="15" customHeight="1">
      <c r="A37" s="225" t="s">
        <v>360</v>
      </c>
      <c r="B37" s="227">
        <v>10</v>
      </c>
      <c r="C37" s="225" t="s">
        <v>361</v>
      </c>
      <c r="J37" s="225" t="s">
        <v>313</v>
      </c>
      <c r="K37" s="228">
        <v>998</v>
      </c>
    </row>
    <row r="38" spans="1:11" ht="15" customHeight="1">
      <c r="A38" s="225" t="s">
        <v>362</v>
      </c>
      <c r="B38" s="227">
        <v>10</v>
      </c>
      <c r="C38" s="225" t="s">
        <v>345</v>
      </c>
      <c r="J38" s="225" t="s">
        <v>311</v>
      </c>
      <c r="K38" s="228">
        <v>999</v>
      </c>
    </row>
    <row r="40" spans="1:15" ht="15" customHeight="1">
      <c r="A40" s="224" t="s">
        <v>337</v>
      </c>
      <c r="E40" s="224" t="s">
        <v>336</v>
      </c>
      <c r="J40" s="263" t="s">
        <v>368</v>
      </c>
      <c r="K40" s="264"/>
      <c r="L40" s="265"/>
      <c r="M40" s="266" t="s">
        <v>423</v>
      </c>
      <c r="N40" s="267"/>
      <c r="O40" s="267"/>
    </row>
    <row r="41" spans="1:15" ht="15" customHeight="1">
      <c r="A41" s="225" t="s">
        <v>334</v>
      </c>
      <c r="B41" s="225" t="s">
        <v>370</v>
      </c>
      <c r="E41" s="225" t="s">
        <v>335</v>
      </c>
      <c r="J41" s="268" t="s">
        <v>410</v>
      </c>
      <c r="K41" s="269">
        <v>166666.6666666667</v>
      </c>
      <c r="L41" s="270" t="s">
        <v>302</v>
      </c>
      <c r="M41" s="274">
        <v>170000</v>
      </c>
      <c r="N41" s="272" t="s">
        <v>302</v>
      </c>
      <c r="O41" s="267"/>
    </row>
    <row r="42" spans="1:15" ht="15" customHeight="1">
      <c r="A42" s="225" t="s">
        <v>332</v>
      </c>
      <c r="B42" s="227">
        <v>1000</v>
      </c>
      <c r="C42" s="225" t="s">
        <v>0</v>
      </c>
      <c r="E42" s="225" t="s">
        <v>333</v>
      </c>
      <c r="F42" s="225" t="s">
        <v>436</v>
      </c>
      <c r="J42" s="273" t="s">
        <v>412</v>
      </c>
      <c r="K42" s="269">
        <v>166666.66666666666</v>
      </c>
      <c r="L42" s="270" t="s">
        <v>302</v>
      </c>
      <c r="M42" s="274">
        <v>170000</v>
      </c>
      <c r="N42" s="272" t="s">
        <v>302</v>
      </c>
      <c r="O42" s="267"/>
    </row>
    <row r="43" spans="2:15" ht="15" customHeight="1">
      <c r="B43" s="225" t="s">
        <v>320</v>
      </c>
      <c r="E43" s="225" t="s">
        <v>327</v>
      </c>
      <c r="F43" s="225" t="s">
        <v>437</v>
      </c>
      <c r="J43" s="273" t="s">
        <v>413</v>
      </c>
      <c r="K43" s="269">
        <v>1.4814814814814815E-07</v>
      </c>
      <c r="L43" s="275"/>
      <c r="M43" s="269">
        <v>1.48E-07</v>
      </c>
      <c r="N43" s="265"/>
      <c r="O43" s="267"/>
    </row>
    <row r="44" spans="1:15" ht="15" customHeight="1">
      <c r="A44" s="225" t="s">
        <v>323</v>
      </c>
      <c r="B44" s="228">
        <v>1000</v>
      </c>
      <c r="C44" s="225" t="s">
        <v>0</v>
      </c>
      <c r="F44" s="225" t="s">
        <v>322</v>
      </c>
      <c r="G44" s="225" t="s">
        <v>321</v>
      </c>
      <c r="H44" s="225" t="s">
        <v>320</v>
      </c>
      <c r="J44" s="273" t="s">
        <v>414</v>
      </c>
      <c r="K44" s="269">
        <v>8.191000918273646E-08</v>
      </c>
      <c r="L44" s="275"/>
      <c r="M44" s="274">
        <v>8.2E-08</v>
      </c>
      <c r="N44" s="276"/>
      <c r="O44" s="267"/>
    </row>
    <row r="45" spans="1:15" ht="15" customHeight="1">
      <c r="A45" s="225" t="s">
        <v>318</v>
      </c>
      <c r="B45" s="228">
        <v>1000</v>
      </c>
      <c r="C45" s="225" t="s">
        <v>0</v>
      </c>
      <c r="E45" s="225" t="s">
        <v>439</v>
      </c>
      <c r="F45" s="227">
        <v>0</v>
      </c>
      <c r="G45" s="227">
        <v>700</v>
      </c>
      <c r="H45" s="228">
        <v>700</v>
      </c>
      <c r="I45" s="225" t="s">
        <v>0</v>
      </c>
      <c r="J45" s="273" t="s">
        <v>339</v>
      </c>
      <c r="K45" s="269">
        <v>8.333333333333334E-10</v>
      </c>
      <c r="L45" s="275"/>
      <c r="M45" s="271">
        <v>8E-10</v>
      </c>
      <c r="N45" s="265"/>
      <c r="O45" s="267"/>
    </row>
    <row r="46" spans="1:15" ht="15" customHeight="1">
      <c r="A46" s="225" t="s">
        <v>316</v>
      </c>
      <c r="B46" s="228">
        <v>1000</v>
      </c>
      <c r="C46" s="225" t="s">
        <v>0</v>
      </c>
      <c r="E46" s="225" t="s">
        <v>440</v>
      </c>
      <c r="F46" s="227">
        <v>0</v>
      </c>
      <c r="G46" s="227">
        <v>1500</v>
      </c>
      <c r="H46" s="228">
        <v>1500</v>
      </c>
      <c r="I46" s="225" t="s">
        <v>0</v>
      </c>
      <c r="J46" s="273" t="s">
        <v>422</v>
      </c>
      <c r="K46" s="277">
        <v>5.624999999999999E-11</v>
      </c>
      <c r="L46" s="278"/>
      <c r="M46" s="279">
        <v>6E-11</v>
      </c>
      <c r="N46" s="280"/>
      <c r="O46" s="267"/>
    </row>
    <row r="47" spans="1:15" ht="15" customHeight="1">
      <c r="A47" s="225" t="s">
        <v>314</v>
      </c>
      <c r="B47" s="228">
        <v>1001</v>
      </c>
      <c r="C47" s="225" t="s">
        <v>0</v>
      </c>
      <c r="E47" s="225" t="s">
        <v>441</v>
      </c>
      <c r="F47" s="227">
        <v>0</v>
      </c>
      <c r="G47" s="227">
        <v>2200</v>
      </c>
      <c r="H47" s="228">
        <v>2201</v>
      </c>
      <c r="I47" s="225" t="s">
        <v>0</v>
      </c>
      <c r="J47" s="273" t="s">
        <v>421</v>
      </c>
      <c r="K47" s="281">
        <v>1.1547005383792517</v>
      </c>
      <c r="L47" s="278"/>
      <c r="M47" s="281">
        <v>1.2</v>
      </c>
      <c r="N47" s="280"/>
      <c r="O47" s="267"/>
    </row>
    <row r="48" spans="1:15" ht="15" customHeight="1">
      <c r="A48" s="225" t="s">
        <v>312</v>
      </c>
      <c r="B48" s="228">
        <v>1000</v>
      </c>
      <c r="C48" s="225" t="s">
        <v>0</v>
      </c>
      <c r="E48" s="225" t="s">
        <v>442</v>
      </c>
      <c r="F48" s="227">
        <v>1000</v>
      </c>
      <c r="G48" s="227">
        <v>700</v>
      </c>
      <c r="H48" s="228">
        <v>700</v>
      </c>
      <c r="I48" s="225" t="s">
        <v>0</v>
      </c>
      <c r="J48" s="273" t="s">
        <v>420</v>
      </c>
      <c r="K48" s="281">
        <v>4.061020547110052</v>
      </c>
      <c r="L48" s="278"/>
      <c r="M48" s="281">
        <v>4.1</v>
      </c>
      <c r="N48" s="280"/>
      <c r="O48" s="267"/>
    </row>
    <row r="49" spans="1:15" ht="15" customHeight="1">
      <c r="A49" s="225" t="s">
        <v>310</v>
      </c>
      <c r="B49" s="228">
        <v>1000</v>
      </c>
      <c r="C49" s="225" t="s">
        <v>0</v>
      </c>
      <c r="E49" s="225" t="s">
        <v>443</v>
      </c>
      <c r="F49" s="227">
        <v>1000</v>
      </c>
      <c r="G49" s="227">
        <v>1500</v>
      </c>
      <c r="H49" s="228">
        <v>1501</v>
      </c>
      <c r="I49" s="225" t="s">
        <v>0</v>
      </c>
      <c r="J49" s="282" t="s">
        <v>407</v>
      </c>
      <c r="K49" s="267" t="s">
        <v>424</v>
      </c>
      <c r="L49" s="283"/>
      <c r="M49" s="267" t="s">
        <v>424</v>
      </c>
      <c r="N49" s="267"/>
      <c r="O49" s="267"/>
    </row>
    <row r="50" spans="1:16" ht="15" customHeight="1" thickBot="1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</row>
  </sheetData>
  <sheetProtection sheet="1" objects="1" scenarios="1"/>
  <conditionalFormatting sqref="J18">
    <cfRule type="cellIs" priority="8" dxfId="20" operator="equal" stopIfTrue="1">
      <formula>"ja"</formula>
    </cfRule>
  </conditionalFormatting>
  <conditionalFormatting sqref="J19">
    <cfRule type="cellIs" priority="7" dxfId="20" operator="equal" stopIfTrue="1">
      <formula>"ja"</formula>
    </cfRule>
  </conditionalFormatting>
  <conditionalFormatting sqref="J43">
    <cfRule type="cellIs" priority="2" dxfId="20" operator="equal" stopIfTrue="1">
      <formula>"ja"</formula>
    </cfRule>
  </conditionalFormatting>
  <conditionalFormatting sqref="J44">
    <cfRule type="cellIs" priority="1" dxfId="20" operator="equal" stopIfTrue="1">
      <formula>"ja"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H114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11.7109375" style="61" customWidth="1"/>
    <col min="2" max="8" width="8.7109375" style="61" customWidth="1"/>
    <col min="9" max="16384" width="11.421875" style="59" customWidth="1"/>
  </cols>
  <sheetData>
    <row r="1" spans="1:8" ht="14.25">
      <c r="A1" s="58" t="s">
        <v>31</v>
      </c>
      <c r="B1" s="59"/>
      <c r="C1" s="59"/>
      <c r="D1" s="59"/>
      <c r="E1" s="59"/>
      <c r="G1" s="60" t="s">
        <v>432</v>
      </c>
      <c r="H1" s="60"/>
    </row>
    <row r="2" spans="1:8" ht="12.75">
      <c r="A2" s="62" t="s">
        <v>32</v>
      </c>
      <c r="B2" s="59"/>
      <c r="C2" s="59"/>
      <c r="D2" s="59"/>
      <c r="E2" s="59"/>
      <c r="F2" s="59"/>
      <c r="G2" s="59"/>
      <c r="H2" s="59"/>
    </row>
    <row r="3" spans="1:8" ht="20.25" customHeight="1">
      <c r="A3" s="340" t="s">
        <v>33</v>
      </c>
      <c r="B3" s="340"/>
      <c r="C3" s="340"/>
      <c r="D3" s="340"/>
      <c r="E3" s="340"/>
      <c r="F3" s="340"/>
      <c r="G3" s="340"/>
      <c r="H3" s="340"/>
    </row>
    <row r="4" spans="1:8" ht="6" customHeight="1">
      <c r="A4" s="63"/>
      <c r="B4" s="63"/>
      <c r="C4" s="63"/>
      <c r="D4" s="63"/>
      <c r="E4" s="63"/>
      <c r="F4" s="63"/>
      <c r="G4" s="63"/>
      <c r="H4" s="63"/>
    </row>
    <row r="5" spans="1:8" ht="12.75" customHeight="1">
      <c r="A5" s="341" t="s">
        <v>34</v>
      </c>
      <c r="B5" s="341"/>
      <c r="C5" s="341"/>
      <c r="D5" s="341"/>
      <c r="E5" s="341"/>
      <c r="F5" s="341"/>
      <c r="G5" s="341"/>
      <c r="H5" s="341"/>
    </row>
    <row r="6" spans="1:8" ht="12.75" customHeight="1">
      <c r="A6" s="342" t="s">
        <v>35</v>
      </c>
      <c r="B6" s="342"/>
      <c r="C6" s="342"/>
      <c r="D6" s="342"/>
      <c r="E6" s="342"/>
      <c r="F6" s="342"/>
      <c r="G6" s="342"/>
      <c r="H6" s="342"/>
    </row>
    <row r="7" spans="1:8" ht="6" customHeight="1">
      <c r="A7" s="343"/>
      <c r="B7" s="343"/>
      <c r="C7" s="343"/>
      <c r="D7" s="343"/>
      <c r="E7" s="343"/>
      <c r="F7" s="343"/>
      <c r="G7" s="343"/>
      <c r="H7" s="343"/>
    </row>
    <row r="8" spans="1:8" ht="12.75" customHeight="1">
      <c r="A8" s="344" t="s">
        <v>36</v>
      </c>
      <c r="B8" s="344"/>
      <c r="C8" s="344"/>
      <c r="D8" s="344"/>
      <c r="E8" s="344"/>
      <c r="F8" s="344"/>
      <c r="G8" s="344"/>
      <c r="H8" s="344"/>
    </row>
    <row r="9" spans="1:8" ht="21" customHeight="1">
      <c r="A9" s="345" t="s">
        <v>37</v>
      </c>
      <c r="B9" s="345"/>
      <c r="C9" s="345"/>
      <c r="D9" s="345"/>
      <c r="E9" s="345"/>
      <c r="F9" s="345"/>
      <c r="G9" s="345"/>
      <c r="H9" s="345"/>
    </row>
    <row r="10" spans="1:8" ht="12" customHeight="1">
      <c r="A10" s="345"/>
      <c r="B10" s="345"/>
      <c r="C10" s="345"/>
      <c r="D10" s="345"/>
      <c r="E10" s="345"/>
      <c r="F10" s="345"/>
      <c r="G10" s="345"/>
      <c r="H10" s="345"/>
    </row>
    <row r="11" spans="1:8" ht="12.75">
      <c r="A11" s="339"/>
      <c r="B11" s="339"/>
      <c r="C11" s="339"/>
      <c r="D11" s="339"/>
      <c r="E11" s="339"/>
      <c r="F11" s="339"/>
      <c r="G11" s="339"/>
      <c r="H11" s="339"/>
    </row>
    <row r="12" spans="1:8" ht="12.75">
      <c r="A12" s="64"/>
      <c r="B12" s="333" t="s">
        <v>425</v>
      </c>
      <c r="C12" s="336" t="s">
        <v>426</v>
      </c>
      <c r="D12" s="336" t="s">
        <v>427</v>
      </c>
      <c r="E12" s="336" t="s">
        <v>428</v>
      </c>
      <c r="F12" s="336" t="s">
        <v>429</v>
      </c>
      <c r="G12" s="336" t="s">
        <v>430</v>
      </c>
      <c r="H12" s="336" t="s">
        <v>431</v>
      </c>
    </row>
    <row r="13" spans="1:8" ht="12.75">
      <c r="A13" s="287" t="s">
        <v>433</v>
      </c>
      <c r="B13" s="334"/>
      <c r="C13" s="337"/>
      <c r="D13" s="337"/>
      <c r="E13" s="337"/>
      <c r="F13" s="337"/>
      <c r="G13" s="337"/>
      <c r="H13" s="337"/>
    </row>
    <row r="14" spans="1:8" ht="14.25">
      <c r="A14" s="65" t="s">
        <v>38</v>
      </c>
      <c r="B14" s="335"/>
      <c r="C14" s="338"/>
      <c r="D14" s="338"/>
      <c r="E14" s="338"/>
      <c r="F14" s="338"/>
      <c r="G14" s="338"/>
      <c r="H14" s="338"/>
    </row>
    <row r="15" spans="1:8" ht="15" customHeight="1">
      <c r="A15" s="66" t="s">
        <v>39</v>
      </c>
      <c r="B15" s="67" t="s">
        <v>40</v>
      </c>
      <c r="C15" s="186" t="s">
        <v>41</v>
      </c>
      <c r="D15" s="68" t="s">
        <v>42</v>
      </c>
      <c r="E15" s="68" t="s">
        <v>43</v>
      </c>
      <c r="F15" s="69" t="s">
        <v>44</v>
      </c>
      <c r="G15" s="70"/>
      <c r="H15" s="70"/>
    </row>
    <row r="16" spans="1:8" ht="15" customHeight="1">
      <c r="A16" s="71" t="s">
        <v>45</v>
      </c>
      <c r="B16" s="67" t="s">
        <v>40</v>
      </c>
      <c r="C16" s="186" t="s">
        <v>41</v>
      </c>
      <c r="D16" s="68" t="s">
        <v>42</v>
      </c>
      <c r="E16" s="68" t="s">
        <v>43</v>
      </c>
      <c r="F16" s="69" t="s">
        <v>44</v>
      </c>
      <c r="G16" s="70"/>
      <c r="H16" s="70"/>
    </row>
    <row r="17" spans="1:8" ht="15" customHeight="1">
      <c r="A17" s="71" t="s">
        <v>46</v>
      </c>
      <c r="B17" s="67" t="s">
        <v>40</v>
      </c>
      <c r="C17" s="186" t="s">
        <v>41</v>
      </c>
      <c r="D17" s="68" t="s">
        <v>42</v>
      </c>
      <c r="E17" s="68" t="s">
        <v>43</v>
      </c>
      <c r="F17" s="69" t="s">
        <v>44</v>
      </c>
      <c r="G17" s="70"/>
      <c r="H17" s="70"/>
    </row>
    <row r="18" spans="1:8" ht="15" customHeight="1">
      <c r="A18" s="66" t="s">
        <v>47</v>
      </c>
      <c r="B18" s="67" t="s">
        <v>40</v>
      </c>
      <c r="C18" s="186" t="s">
        <v>48</v>
      </c>
      <c r="D18" s="68" t="s">
        <v>49</v>
      </c>
      <c r="E18" s="68" t="s">
        <v>50</v>
      </c>
      <c r="F18" s="69" t="s">
        <v>51</v>
      </c>
      <c r="G18" s="70"/>
      <c r="H18" s="70"/>
    </row>
    <row r="19" spans="1:8" ht="15" customHeight="1">
      <c r="A19" s="71" t="s">
        <v>52</v>
      </c>
      <c r="B19" s="67" t="s">
        <v>53</v>
      </c>
      <c r="C19" s="186" t="s">
        <v>54</v>
      </c>
      <c r="D19" s="68" t="s">
        <v>55</v>
      </c>
      <c r="E19" s="68" t="s">
        <v>56</v>
      </c>
      <c r="F19" s="69" t="s">
        <v>57</v>
      </c>
      <c r="G19" s="70"/>
      <c r="H19" s="70"/>
    </row>
    <row r="20" spans="1:8" ht="15" customHeight="1">
      <c r="A20" s="71" t="s">
        <v>58</v>
      </c>
      <c r="B20" s="67" t="s">
        <v>59</v>
      </c>
      <c r="C20" s="186" t="s">
        <v>60</v>
      </c>
      <c r="D20" s="68" t="s">
        <v>61</v>
      </c>
      <c r="E20" s="68" t="s">
        <v>62</v>
      </c>
      <c r="F20" s="69" t="s">
        <v>63</v>
      </c>
      <c r="G20" s="70"/>
      <c r="H20" s="70"/>
    </row>
    <row r="21" spans="1:8" ht="15" customHeight="1">
      <c r="A21" s="66" t="s">
        <v>64</v>
      </c>
      <c r="B21" s="67" t="s">
        <v>65</v>
      </c>
      <c r="C21" s="186" t="s">
        <v>66</v>
      </c>
      <c r="D21" s="68" t="s">
        <v>67</v>
      </c>
      <c r="E21" s="68" t="s">
        <v>68</v>
      </c>
      <c r="F21" s="69" t="s">
        <v>69</v>
      </c>
      <c r="G21" s="69" t="s">
        <v>70</v>
      </c>
      <c r="H21" s="70"/>
    </row>
    <row r="22" spans="1:8" ht="15" customHeight="1">
      <c r="A22" s="71" t="s">
        <v>71</v>
      </c>
      <c r="B22" s="67" t="s">
        <v>41</v>
      </c>
      <c r="C22" s="186" t="s">
        <v>72</v>
      </c>
      <c r="D22" s="68" t="s">
        <v>43</v>
      </c>
      <c r="E22" s="68" t="s">
        <v>44</v>
      </c>
      <c r="F22" s="69" t="s">
        <v>73</v>
      </c>
      <c r="G22" s="69" t="s">
        <v>74</v>
      </c>
      <c r="H22" s="70"/>
    </row>
    <row r="23" spans="1:8" ht="15" customHeight="1">
      <c r="A23" s="72" t="s">
        <v>75</v>
      </c>
      <c r="B23" s="73" t="s">
        <v>48</v>
      </c>
      <c r="C23" s="187" t="s">
        <v>76</v>
      </c>
      <c r="D23" s="74" t="s">
        <v>50</v>
      </c>
      <c r="E23" s="74" t="s">
        <v>51</v>
      </c>
      <c r="F23" s="75" t="s">
        <v>77</v>
      </c>
      <c r="G23" s="75" t="s">
        <v>78</v>
      </c>
      <c r="H23" s="76"/>
    </row>
    <row r="24" spans="1:8" ht="15" customHeight="1">
      <c r="A24" s="66" t="s">
        <v>79</v>
      </c>
      <c r="B24" s="67" t="s">
        <v>54</v>
      </c>
      <c r="C24" s="186" t="s">
        <v>80</v>
      </c>
      <c r="D24" s="68" t="s">
        <v>56</v>
      </c>
      <c r="E24" s="68" t="s">
        <v>57</v>
      </c>
      <c r="F24" s="69" t="s">
        <v>81</v>
      </c>
      <c r="G24" s="69" t="s">
        <v>82</v>
      </c>
      <c r="H24" s="69" t="s">
        <v>83</v>
      </c>
    </row>
    <row r="25" spans="1:8" ht="15" customHeight="1">
      <c r="A25" s="71" t="s">
        <v>84</v>
      </c>
      <c r="B25" s="67" t="s">
        <v>60</v>
      </c>
      <c r="C25" s="186" t="s">
        <v>85</v>
      </c>
      <c r="D25" s="68" t="s">
        <v>62</v>
      </c>
      <c r="E25" s="68" t="s">
        <v>63</v>
      </c>
      <c r="F25" s="69" t="s">
        <v>86</v>
      </c>
      <c r="G25" s="69" t="s">
        <v>87</v>
      </c>
      <c r="H25" s="69" t="s">
        <v>88</v>
      </c>
    </row>
    <row r="26" spans="1:8" ht="15" customHeight="1">
      <c r="A26" s="71" t="s">
        <v>89</v>
      </c>
      <c r="B26" s="67" t="s">
        <v>66</v>
      </c>
      <c r="C26" s="186" t="s">
        <v>90</v>
      </c>
      <c r="D26" s="68" t="s">
        <v>68</v>
      </c>
      <c r="E26" s="68" t="s">
        <v>69</v>
      </c>
      <c r="F26" s="69" t="s">
        <v>70</v>
      </c>
      <c r="G26" s="69" t="s">
        <v>91</v>
      </c>
      <c r="H26" s="69" t="s">
        <v>92</v>
      </c>
    </row>
    <row r="27" spans="1:8" ht="15" customHeight="1">
      <c r="A27" s="66" t="s">
        <v>93</v>
      </c>
      <c r="B27" s="67" t="s">
        <v>72</v>
      </c>
      <c r="C27" s="186" t="s">
        <v>94</v>
      </c>
      <c r="D27" s="68" t="s">
        <v>44</v>
      </c>
      <c r="E27" s="68" t="s">
        <v>73</v>
      </c>
      <c r="F27" s="69" t="s">
        <v>74</v>
      </c>
      <c r="G27" s="69" t="s">
        <v>95</v>
      </c>
      <c r="H27" s="69" t="s">
        <v>96</v>
      </c>
    </row>
    <row r="28" spans="1:8" ht="15" customHeight="1">
      <c r="A28" s="71" t="s">
        <v>97</v>
      </c>
      <c r="B28" s="67" t="s">
        <v>76</v>
      </c>
      <c r="C28" s="186" t="s">
        <v>98</v>
      </c>
      <c r="D28" s="68" t="s">
        <v>51</v>
      </c>
      <c r="E28" s="68" t="s">
        <v>77</v>
      </c>
      <c r="F28" s="69" t="s">
        <v>78</v>
      </c>
      <c r="G28" s="69" t="s">
        <v>99</v>
      </c>
      <c r="H28" s="69" t="s">
        <v>100</v>
      </c>
    </row>
    <row r="29" spans="1:8" ht="15" customHeight="1">
      <c r="A29" s="71" t="s">
        <v>101</v>
      </c>
      <c r="B29" s="67" t="s">
        <v>102</v>
      </c>
      <c r="C29" s="186" t="s">
        <v>103</v>
      </c>
      <c r="D29" s="68" t="s">
        <v>104</v>
      </c>
      <c r="E29" s="68" t="s">
        <v>81</v>
      </c>
      <c r="F29" s="69" t="s">
        <v>105</v>
      </c>
      <c r="G29" s="69" t="s">
        <v>83</v>
      </c>
      <c r="H29" s="69" t="s">
        <v>106</v>
      </c>
    </row>
    <row r="30" spans="1:8" ht="15" customHeight="1">
      <c r="A30" s="66" t="s">
        <v>107</v>
      </c>
      <c r="B30" s="67" t="s">
        <v>108</v>
      </c>
      <c r="C30" s="186" t="s">
        <v>109</v>
      </c>
      <c r="D30" s="68" t="s">
        <v>110</v>
      </c>
      <c r="E30" s="68" t="s">
        <v>70</v>
      </c>
      <c r="F30" s="69" t="s">
        <v>91</v>
      </c>
      <c r="G30" s="69" t="s">
        <v>92</v>
      </c>
      <c r="H30" s="69" t="s">
        <v>111</v>
      </c>
    </row>
    <row r="31" spans="1:8" ht="15" customHeight="1">
      <c r="A31" s="71" t="s">
        <v>112</v>
      </c>
      <c r="B31" s="67" t="s">
        <v>103</v>
      </c>
      <c r="C31" s="186" t="s">
        <v>113</v>
      </c>
      <c r="D31" s="68" t="s">
        <v>81</v>
      </c>
      <c r="E31" s="68" t="s">
        <v>105</v>
      </c>
      <c r="F31" s="69" t="s">
        <v>83</v>
      </c>
      <c r="G31" s="69" t="s">
        <v>106</v>
      </c>
      <c r="H31" s="69" t="s">
        <v>114</v>
      </c>
    </row>
    <row r="32" spans="1:8" ht="15" customHeight="1">
      <c r="A32" s="72" t="s">
        <v>115</v>
      </c>
      <c r="B32" s="73" t="s">
        <v>116</v>
      </c>
      <c r="C32" s="187" t="s">
        <v>117</v>
      </c>
      <c r="D32" s="74" t="s">
        <v>78</v>
      </c>
      <c r="E32" s="74" t="s">
        <v>118</v>
      </c>
      <c r="F32" s="75" t="s">
        <v>100</v>
      </c>
      <c r="G32" s="75" t="s">
        <v>119</v>
      </c>
      <c r="H32" s="75" t="s">
        <v>120</v>
      </c>
    </row>
    <row r="33" spans="1:8" ht="15" customHeight="1">
      <c r="A33" s="66" t="s">
        <v>121</v>
      </c>
      <c r="B33" s="67" t="s">
        <v>122</v>
      </c>
      <c r="C33" s="186" t="s">
        <v>123</v>
      </c>
      <c r="D33" s="68" t="s">
        <v>124</v>
      </c>
      <c r="E33" s="68" t="s">
        <v>92</v>
      </c>
      <c r="F33" s="69" t="s">
        <v>111</v>
      </c>
      <c r="G33" s="69" t="s">
        <v>125</v>
      </c>
      <c r="H33" s="69" t="s">
        <v>126</v>
      </c>
    </row>
    <row r="34" spans="1:8" ht="15" customHeight="1">
      <c r="A34" s="71" t="s">
        <v>127</v>
      </c>
      <c r="B34" s="67" t="s">
        <v>81</v>
      </c>
      <c r="C34" s="186" t="s">
        <v>128</v>
      </c>
      <c r="D34" s="68" t="s">
        <v>83</v>
      </c>
      <c r="E34" s="68" t="s">
        <v>106</v>
      </c>
      <c r="F34" s="69" t="s">
        <v>114</v>
      </c>
      <c r="G34" s="69" t="s">
        <v>129</v>
      </c>
      <c r="H34" s="69" t="s">
        <v>130</v>
      </c>
    </row>
    <row r="35" spans="1:8" ht="15" customHeight="1">
      <c r="A35" s="71" t="s">
        <v>131</v>
      </c>
      <c r="B35" s="67" t="s">
        <v>78</v>
      </c>
      <c r="C35" s="186" t="s">
        <v>132</v>
      </c>
      <c r="D35" s="68" t="s">
        <v>100</v>
      </c>
      <c r="E35" s="68" t="s">
        <v>119</v>
      </c>
      <c r="F35" s="69" t="s">
        <v>120</v>
      </c>
      <c r="G35" s="69" t="s">
        <v>133</v>
      </c>
      <c r="H35" s="69" t="s">
        <v>134</v>
      </c>
    </row>
    <row r="36" spans="1:8" ht="15" customHeight="1">
      <c r="A36" s="71" t="s">
        <v>135</v>
      </c>
      <c r="B36" s="67" t="s">
        <v>124</v>
      </c>
      <c r="C36" s="186" t="s">
        <v>136</v>
      </c>
      <c r="D36" s="68" t="s">
        <v>111</v>
      </c>
      <c r="E36" s="68" t="s">
        <v>125</v>
      </c>
      <c r="F36" s="69" t="s">
        <v>126</v>
      </c>
      <c r="G36" s="69" t="s">
        <v>137</v>
      </c>
      <c r="H36" s="69" t="s">
        <v>138</v>
      </c>
    </row>
    <row r="37" spans="1:8" ht="15" customHeight="1">
      <c r="A37" s="71" t="s">
        <v>139</v>
      </c>
      <c r="B37" s="67" t="s">
        <v>83</v>
      </c>
      <c r="C37" s="186" t="s">
        <v>140</v>
      </c>
      <c r="D37" s="68" t="s">
        <v>114</v>
      </c>
      <c r="E37" s="68" t="s">
        <v>129</v>
      </c>
      <c r="F37" s="69" t="s">
        <v>130</v>
      </c>
      <c r="G37" s="69" t="s">
        <v>141</v>
      </c>
      <c r="H37" s="69" t="s">
        <v>142</v>
      </c>
    </row>
    <row r="38" spans="1:8" ht="15" customHeight="1">
      <c r="A38" s="77" t="s">
        <v>143</v>
      </c>
      <c r="B38" s="78" t="s">
        <v>100</v>
      </c>
      <c r="C38" s="188" t="s">
        <v>144</v>
      </c>
      <c r="D38" s="79" t="s">
        <v>120</v>
      </c>
      <c r="E38" s="79" t="s">
        <v>133</v>
      </c>
      <c r="F38" s="80" t="s">
        <v>134</v>
      </c>
      <c r="G38" s="80" t="s">
        <v>145</v>
      </c>
      <c r="H38" s="80" t="s">
        <v>146</v>
      </c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409.5">
      <c r="A40" s="59"/>
      <c r="B40" s="59"/>
      <c r="C40" s="59"/>
      <c r="D40" s="59"/>
      <c r="E40" s="59"/>
      <c r="F40" s="59"/>
      <c r="G40" s="59"/>
      <c r="H40" s="59"/>
    </row>
    <row r="41" spans="1:8" ht="409.5">
      <c r="A41" s="59"/>
      <c r="B41" s="59"/>
      <c r="C41" s="59"/>
      <c r="D41" s="59"/>
      <c r="E41" s="59"/>
      <c r="F41" s="59"/>
      <c r="G41" s="59"/>
      <c r="H41" s="59"/>
    </row>
    <row r="42" spans="1:8" ht="409.5">
      <c r="A42" s="59"/>
      <c r="B42" s="59"/>
      <c r="C42" s="59"/>
      <c r="D42" s="59"/>
      <c r="E42" s="59"/>
      <c r="F42" s="59"/>
      <c r="G42" s="59"/>
      <c r="H42" s="59"/>
    </row>
    <row r="43" spans="1:8" ht="409.5">
      <c r="A43" s="59"/>
      <c r="B43" s="59"/>
      <c r="C43" s="59"/>
      <c r="D43" s="59"/>
      <c r="E43" s="59"/>
      <c r="F43" s="59"/>
      <c r="G43" s="59"/>
      <c r="H43" s="59"/>
    </row>
    <row r="44" spans="1:8" ht="409.5">
      <c r="A44" s="59"/>
      <c r="B44" s="59"/>
      <c r="C44" s="59"/>
      <c r="D44" s="59"/>
      <c r="E44" s="59"/>
      <c r="F44" s="59"/>
      <c r="G44" s="59"/>
      <c r="H44" s="59"/>
    </row>
    <row r="45" spans="1:8" ht="409.5">
      <c r="A45" s="59"/>
      <c r="B45" s="59"/>
      <c r="C45" s="59"/>
      <c r="D45" s="59"/>
      <c r="E45" s="59"/>
      <c r="F45" s="59"/>
      <c r="G45" s="59"/>
      <c r="H45" s="59"/>
    </row>
    <row r="46" spans="1:8" ht="409.5">
      <c r="A46" s="59"/>
      <c r="B46" s="59"/>
      <c r="C46" s="59"/>
      <c r="D46" s="59"/>
      <c r="E46" s="59"/>
      <c r="F46" s="59"/>
      <c r="G46" s="59"/>
      <c r="H46" s="59"/>
    </row>
    <row r="47" spans="1:8" ht="409.5">
      <c r="A47" s="59"/>
      <c r="B47" s="59"/>
      <c r="C47" s="59"/>
      <c r="D47" s="59"/>
      <c r="E47" s="59"/>
      <c r="F47" s="59"/>
      <c r="G47" s="59"/>
      <c r="H47" s="59"/>
    </row>
    <row r="48" spans="1:8" ht="409.5">
      <c r="A48" s="59"/>
      <c r="B48" s="59"/>
      <c r="C48" s="59"/>
      <c r="D48" s="59"/>
      <c r="E48" s="59"/>
      <c r="F48" s="59"/>
      <c r="G48" s="59"/>
      <c r="H48" s="59"/>
    </row>
    <row r="49" spans="1:8" ht="409.5">
      <c r="A49" s="59"/>
      <c r="B49" s="59"/>
      <c r="C49" s="59"/>
      <c r="D49" s="59"/>
      <c r="E49" s="59"/>
      <c r="F49" s="59"/>
      <c r="G49" s="59"/>
      <c r="H49" s="59"/>
    </row>
    <row r="50" spans="1:8" ht="409.5">
      <c r="A50" s="59"/>
      <c r="B50" s="59"/>
      <c r="C50" s="59"/>
      <c r="D50" s="59"/>
      <c r="E50" s="59"/>
      <c r="F50" s="59"/>
      <c r="G50" s="59"/>
      <c r="H50" s="59"/>
    </row>
    <row r="51" spans="1:8" ht="409.5">
      <c r="A51" s="59"/>
      <c r="B51" s="59"/>
      <c r="C51" s="59"/>
      <c r="D51" s="59"/>
      <c r="E51" s="59"/>
      <c r="F51" s="59"/>
      <c r="G51" s="59"/>
      <c r="H51" s="59"/>
    </row>
    <row r="52" spans="1:8" ht="409.5">
      <c r="A52" s="59"/>
      <c r="B52" s="59"/>
      <c r="C52" s="59"/>
      <c r="D52" s="59"/>
      <c r="E52" s="59"/>
      <c r="F52" s="59"/>
      <c r="G52" s="59"/>
      <c r="H52" s="59"/>
    </row>
    <row r="53" spans="1:8" ht="409.5">
      <c r="A53" s="59"/>
      <c r="B53" s="59"/>
      <c r="C53" s="59"/>
      <c r="D53" s="59"/>
      <c r="E53" s="59"/>
      <c r="F53" s="59"/>
      <c r="G53" s="59"/>
      <c r="H53" s="59"/>
    </row>
    <row r="54" spans="1:8" ht="409.5">
      <c r="A54" s="59"/>
      <c r="B54" s="59"/>
      <c r="C54" s="59"/>
      <c r="D54" s="59"/>
      <c r="E54" s="59"/>
      <c r="F54" s="59"/>
      <c r="G54" s="59"/>
      <c r="H54" s="59"/>
    </row>
    <row r="55" spans="1:8" ht="409.5">
      <c r="A55" s="59"/>
      <c r="B55" s="59"/>
      <c r="C55" s="59"/>
      <c r="D55" s="59"/>
      <c r="E55" s="59"/>
      <c r="F55" s="59"/>
      <c r="G55" s="59"/>
      <c r="H55" s="59"/>
    </row>
    <row r="56" spans="1:8" ht="409.5">
      <c r="A56" s="59"/>
      <c r="B56" s="59"/>
      <c r="C56" s="59"/>
      <c r="D56" s="59"/>
      <c r="E56" s="59"/>
      <c r="F56" s="59"/>
      <c r="G56" s="59"/>
      <c r="H56" s="59"/>
    </row>
    <row r="57" spans="1:8" ht="409.5">
      <c r="A57" s="59"/>
      <c r="B57" s="59"/>
      <c r="C57" s="59"/>
      <c r="D57" s="59"/>
      <c r="E57" s="59"/>
      <c r="F57" s="59"/>
      <c r="G57" s="59"/>
      <c r="H57" s="59"/>
    </row>
    <row r="58" spans="1:8" ht="409.5">
      <c r="A58" s="59"/>
      <c r="B58" s="59"/>
      <c r="C58" s="59"/>
      <c r="D58" s="59"/>
      <c r="E58" s="59"/>
      <c r="F58" s="59"/>
      <c r="G58" s="59"/>
      <c r="H58" s="59"/>
    </row>
    <row r="59" spans="1:8" ht="409.5">
      <c r="A59" s="59"/>
      <c r="B59" s="59"/>
      <c r="C59" s="59"/>
      <c r="D59" s="59"/>
      <c r="E59" s="59"/>
      <c r="F59" s="59"/>
      <c r="G59" s="59"/>
      <c r="H59" s="59"/>
    </row>
    <row r="60" spans="1:8" ht="409.5">
      <c r="A60" s="59"/>
      <c r="B60" s="59"/>
      <c r="C60" s="59"/>
      <c r="D60" s="59"/>
      <c r="E60" s="59"/>
      <c r="F60" s="59"/>
      <c r="G60" s="59"/>
      <c r="H60" s="59"/>
    </row>
    <row r="61" spans="1:8" ht="409.5">
      <c r="A61" s="59"/>
      <c r="B61" s="59"/>
      <c r="C61" s="59"/>
      <c r="D61" s="59"/>
      <c r="E61" s="59"/>
      <c r="F61" s="59"/>
      <c r="G61" s="59"/>
      <c r="H61" s="59"/>
    </row>
    <row r="62" spans="1:8" ht="409.5">
      <c r="A62" s="59"/>
      <c r="B62" s="59"/>
      <c r="C62" s="59"/>
      <c r="D62" s="59"/>
      <c r="E62" s="59"/>
      <c r="F62" s="59"/>
      <c r="G62" s="59"/>
      <c r="H62" s="59"/>
    </row>
    <row r="63" spans="1:8" ht="409.5">
      <c r="A63" s="59"/>
      <c r="B63" s="59"/>
      <c r="C63" s="59"/>
      <c r="D63" s="59"/>
      <c r="E63" s="59"/>
      <c r="F63" s="59"/>
      <c r="G63" s="59"/>
      <c r="H63" s="59"/>
    </row>
    <row r="64" spans="1:8" ht="409.5">
      <c r="A64" s="59"/>
      <c r="B64" s="59"/>
      <c r="C64" s="59"/>
      <c r="D64" s="59"/>
      <c r="E64" s="59"/>
      <c r="F64" s="59"/>
      <c r="G64" s="59"/>
      <c r="H64" s="59"/>
    </row>
    <row r="65" spans="1:8" ht="409.5">
      <c r="A65" s="59"/>
      <c r="B65" s="59"/>
      <c r="C65" s="59"/>
      <c r="D65" s="59"/>
      <c r="E65" s="59"/>
      <c r="F65" s="59"/>
      <c r="G65" s="59"/>
      <c r="H65" s="59"/>
    </row>
    <row r="66" spans="1:8" ht="409.5">
      <c r="A66" s="59"/>
      <c r="B66" s="59"/>
      <c r="C66" s="59"/>
      <c r="D66" s="59"/>
      <c r="E66" s="59"/>
      <c r="F66" s="59"/>
      <c r="G66" s="59"/>
      <c r="H66" s="59"/>
    </row>
    <row r="67" spans="1:8" ht="409.5">
      <c r="A67" s="59"/>
      <c r="B67" s="59"/>
      <c r="C67" s="59"/>
      <c r="D67" s="59"/>
      <c r="E67" s="59"/>
      <c r="F67" s="59"/>
      <c r="G67" s="59"/>
      <c r="H67" s="59"/>
    </row>
    <row r="68" spans="1:8" ht="409.5">
      <c r="A68" s="59"/>
      <c r="B68" s="59"/>
      <c r="C68" s="59"/>
      <c r="D68" s="59"/>
      <c r="E68" s="59"/>
      <c r="F68" s="59"/>
      <c r="G68" s="59"/>
      <c r="H68" s="59"/>
    </row>
    <row r="69" spans="1:8" ht="409.5">
      <c r="A69" s="59"/>
      <c r="B69" s="59"/>
      <c r="C69" s="59"/>
      <c r="D69" s="59"/>
      <c r="E69" s="59"/>
      <c r="F69" s="59"/>
      <c r="G69" s="59"/>
      <c r="H69" s="59"/>
    </row>
    <row r="70" spans="1:8" ht="409.5">
      <c r="A70" s="59"/>
      <c r="B70" s="59"/>
      <c r="C70" s="59"/>
      <c r="D70" s="59"/>
      <c r="E70" s="59"/>
      <c r="F70" s="59"/>
      <c r="G70" s="59"/>
      <c r="H70" s="59"/>
    </row>
    <row r="71" spans="1:8" ht="409.5">
      <c r="A71" s="59"/>
      <c r="B71" s="59"/>
      <c r="C71" s="59"/>
      <c r="D71" s="59"/>
      <c r="E71" s="59"/>
      <c r="F71" s="59"/>
      <c r="G71" s="59"/>
      <c r="H71" s="59"/>
    </row>
    <row r="72" spans="1:8" ht="409.5">
      <c r="A72" s="59"/>
      <c r="B72" s="59"/>
      <c r="C72" s="59"/>
      <c r="D72" s="59"/>
      <c r="E72" s="59"/>
      <c r="F72" s="59"/>
      <c r="G72" s="59"/>
      <c r="H72" s="59"/>
    </row>
    <row r="73" spans="1:8" ht="409.5">
      <c r="A73" s="59"/>
      <c r="B73" s="59"/>
      <c r="C73" s="59"/>
      <c r="D73" s="59"/>
      <c r="E73" s="59"/>
      <c r="F73" s="59"/>
      <c r="G73" s="59"/>
      <c r="H73" s="59"/>
    </row>
    <row r="74" spans="1:8" ht="409.5">
      <c r="A74" s="59"/>
      <c r="B74" s="59"/>
      <c r="C74" s="59"/>
      <c r="D74" s="59"/>
      <c r="E74" s="59"/>
      <c r="F74" s="59"/>
      <c r="G74" s="59"/>
      <c r="H74" s="59"/>
    </row>
    <row r="75" spans="1:8" ht="409.5">
      <c r="A75" s="59"/>
      <c r="B75" s="59"/>
      <c r="C75" s="59"/>
      <c r="D75" s="59"/>
      <c r="E75" s="59"/>
      <c r="F75" s="59"/>
      <c r="G75" s="59"/>
      <c r="H75" s="59"/>
    </row>
    <row r="76" spans="1:8" ht="409.5">
      <c r="A76" s="59"/>
      <c r="B76" s="59"/>
      <c r="C76" s="59"/>
      <c r="D76" s="59"/>
      <c r="E76" s="59"/>
      <c r="F76" s="59"/>
      <c r="G76" s="59"/>
      <c r="H76" s="59"/>
    </row>
    <row r="77" spans="1:8" ht="409.5">
      <c r="A77" s="59"/>
      <c r="B77" s="59"/>
      <c r="C77" s="59"/>
      <c r="D77" s="59"/>
      <c r="E77" s="59"/>
      <c r="F77" s="59"/>
      <c r="G77" s="59"/>
      <c r="H77" s="59"/>
    </row>
    <row r="78" spans="1:8" ht="409.5">
      <c r="A78" s="59"/>
      <c r="B78" s="59"/>
      <c r="C78" s="59"/>
      <c r="D78" s="59"/>
      <c r="E78" s="59"/>
      <c r="F78" s="59"/>
      <c r="G78" s="59"/>
      <c r="H78" s="59"/>
    </row>
    <row r="79" spans="1:8" ht="409.5">
      <c r="A79" s="59"/>
      <c r="B79" s="59"/>
      <c r="C79" s="59"/>
      <c r="D79" s="59"/>
      <c r="E79" s="59"/>
      <c r="F79" s="59"/>
      <c r="G79" s="59"/>
      <c r="H79" s="59"/>
    </row>
    <row r="80" spans="1:8" ht="409.5">
      <c r="A80" s="59"/>
      <c r="B80" s="59"/>
      <c r="C80" s="59"/>
      <c r="D80" s="59"/>
      <c r="E80" s="59"/>
      <c r="F80" s="59"/>
      <c r="G80" s="59"/>
      <c r="H80" s="59"/>
    </row>
    <row r="81" spans="1:8" ht="409.5">
      <c r="A81" s="59"/>
      <c r="B81" s="59"/>
      <c r="C81" s="59"/>
      <c r="D81" s="59"/>
      <c r="E81" s="59"/>
      <c r="F81" s="59"/>
      <c r="G81" s="59"/>
      <c r="H81" s="59"/>
    </row>
    <row r="82" spans="1:8" ht="409.5">
      <c r="A82" s="59"/>
      <c r="B82" s="59"/>
      <c r="C82" s="59"/>
      <c r="D82" s="59"/>
      <c r="E82" s="59"/>
      <c r="F82" s="59"/>
      <c r="G82" s="59"/>
      <c r="H82" s="59"/>
    </row>
    <row r="83" spans="1:8" ht="409.5">
      <c r="A83" s="59"/>
      <c r="B83" s="59"/>
      <c r="C83" s="59"/>
      <c r="D83" s="59"/>
      <c r="E83" s="59"/>
      <c r="F83" s="59"/>
      <c r="G83" s="59"/>
      <c r="H83" s="59"/>
    </row>
    <row r="84" spans="1:8" ht="409.5">
      <c r="A84" s="59"/>
      <c r="B84" s="59"/>
      <c r="C84" s="59"/>
      <c r="D84" s="59"/>
      <c r="E84" s="59"/>
      <c r="F84" s="59"/>
      <c r="G84" s="59"/>
      <c r="H84" s="59"/>
    </row>
    <row r="85" spans="1:8" ht="409.5">
      <c r="A85" s="59"/>
      <c r="B85" s="59"/>
      <c r="C85" s="59"/>
      <c r="D85" s="59"/>
      <c r="E85" s="59"/>
      <c r="F85" s="59"/>
      <c r="G85" s="59"/>
      <c r="H85" s="59"/>
    </row>
    <row r="86" spans="1:8" ht="409.5">
      <c r="A86" s="59"/>
      <c r="B86" s="59"/>
      <c r="C86" s="59"/>
      <c r="D86" s="59"/>
      <c r="E86" s="59"/>
      <c r="F86" s="59"/>
      <c r="G86" s="59"/>
      <c r="H86" s="59"/>
    </row>
    <row r="87" spans="1:8" ht="409.5">
      <c r="A87" s="59"/>
      <c r="B87" s="59"/>
      <c r="C87" s="59"/>
      <c r="D87" s="59"/>
      <c r="E87" s="59"/>
      <c r="F87" s="59"/>
      <c r="G87" s="59"/>
      <c r="H87" s="59"/>
    </row>
    <row r="88" spans="1:8" ht="409.5">
      <c r="A88" s="59"/>
      <c r="B88" s="59"/>
      <c r="C88" s="59"/>
      <c r="D88" s="59"/>
      <c r="E88" s="59"/>
      <c r="F88" s="59"/>
      <c r="G88" s="59"/>
      <c r="H88" s="59"/>
    </row>
    <row r="89" spans="1:8" ht="409.5">
      <c r="A89" s="59"/>
      <c r="B89" s="59"/>
      <c r="C89" s="59"/>
      <c r="D89" s="59"/>
      <c r="E89" s="59"/>
      <c r="F89" s="59"/>
      <c r="G89" s="59"/>
      <c r="H89" s="59"/>
    </row>
    <row r="90" spans="1:8" ht="409.5">
      <c r="A90" s="59"/>
      <c r="B90" s="59"/>
      <c r="C90" s="59"/>
      <c r="D90" s="59"/>
      <c r="E90" s="59"/>
      <c r="F90" s="59"/>
      <c r="G90" s="59"/>
      <c r="H90" s="59"/>
    </row>
    <row r="91" spans="1:8" ht="409.5">
      <c r="A91" s="59"/>
      <c r="B91" s="59"/>
      <c r="C91" s="59"/>
      <c r="D91" s="59"/>
      <c r="E91" s="59"/>
      <c r="F91" s="59"/>
      <c r="G91" s="59"/>
      <c r="H91" s="59"/>
    </row>
    <row r="92" spans="1:8" ht="409.5">
      <c r="A92" s="59"/>
      <c r="B92" s="59"/>
      <c r="C92" s="59"/>
      <c r="D92" s="59"/>
      <c r="E92" s="59"/>
      <c r="F92" s="59"/>
      <c r="G92" s="59"/>
      <c r="H92" s="59"/>
    </row>
    <row r="93" spans="1:8" ht="409.5">
      <c r="A93" s="59"/>
      <c r="B93" s="59"/>
      <c r="C93" s="59"/>
      <c r="D93" s="59"/>
      <c r="E93" s="59"/>
      <c r="F93" s="59"/>
      <c r="G93" s="59"/>
      <c r="H93" s="59"/>
    </row>
    <row r="94" spans="1:8" ht="409.5">
      <c r="A94" s="59"/>
      <c r="B94" s="59"/>
      <c r="C94" s="59"/>
      <c r="D94" s="59"/>
      <c r="E94" s="59"/>
      <c r="F94" s="59"/>
      <c r="G94" s="59"/>
      <c r="H94" s="59"/>
    </row>
    <row r="95" spans="1:8" ht="409.5">
      <c r="A95" s="59"/>
      <c r="B95" s="59"/>
      <c r="C95" s="59"/>
      <c r="D95" s="59"/>
      <c r="E95" s="59"/>
      <c r="F95" s="59"/>
      <c r="G95" s="59"/>
      <c r="H95" s="59"/>
    </row>
    <row r="96" spans="1:8" ht="409.5">
      <c r="A96" s="59"/>
      <c r="B96" s="59"/>
      <c r="C96" s="59"/>
      <c r="D96" s="59"/>
      <c r="E96" s="59"/>
      <c r="F96" s="59"/>
      <c r="G96" s="59"/>
      <c r="H96" s="59"/>
    </row>
    <row r="97" spans="1:8" ht="409.5">
      <c r="A97" s="59"/>
      <c r="B97" s="59"/>
      <c r="C97" s="59"/>
      <c r="D97" s="59"/>
      <c r="E97" s="59"/>
      <c r="F97" s="59"/>
      <c r="G97" s="59"/>
      <c r="H97" s="59"/>
    </row>
    <row r="98" spans="1:8" ht="409.5">
      <c r="A98" s="59"/>
      <c r="B98" s="59"/>
      <c r="C98" s="59"/>
      <c r="D98" s="59"/>
      <c r="E98" s="59"/>
      <c r="F98" s="59"/>
      <c r="G98" s="59"/>
      <c r="H98" s="59"/>
    </row>
    <row r="99" spans="1:8" ht="409.5">
      <c r="A99" s="59"/>
      <c r="B99" s="59"/>
      <c r="C99" s="59"/>
      <c r="D99" s="59"/>
      <c r="E99" s="59"/>
      <c r="F99" s="59"/>
      <c r="G99" s="59"/>
      <c r="H99" s="59"/>
    </row>
    <row r="100" spans="1:8" ht="409.5">
      <c r="A100" s="59"/>
      <c r="B100" s="59"/>
      <c r="C100" s="59"/>
      <c r="D100" s="59"/>
      <c r="E100" s="59"/>
      <c r="F100" s="59"/>
      <c r="G100" s="59"/>
      <c r="H100" s="59"/>
    </row>
    <row r="101" spans="1:8" ht="409.5">
      <c r="A101" s="59"/>
      <c r="B101" s="59"/>
      <c r="C101" s="59"/>
      <c r="D101" s="59"/>
      <c r="E101" s="59"/>
      <c r="F101" s="59"/>
      <c r="G101" s="59"/>
      <c r="H101" s="59"/>
    </row>
    <row r="102" spans="1:8" ht="409.5">
      <c r="A102" s="59"/>
      <c r="B102" s="59"/>
      <c r="C102" s="59"/>
      <c r="D102" s="59"/>
      <c r="E102" s="59"/>
      <c r="F102" s="59"/>
      <c r="G102" s="59"/>
      <c r="H102" s="59"/>
    </row>
    <row r="103" spans="1:8" ht="409.5">
      <c r="A103" s="59"/>
      <c r="B103" s="59"/>
      <c r="C103" s="59"/>
      <c r="D103" s="59"/>
      <c r="E103" s="59"/>
      <c r="F103" s="59"/>
      <c r="G103" s="59"/>
      <c r="H103" s="59"/>
    </row>
    <row r="104" spans="1:8" ht="409.5">
      <c r="A104" s="59"/>
      <c r="B104" s="59"/>
      <c r="C104" s="59"/>
      <c r="D104" s="59"/>
      <c r="E104" s="59"/>
      <c r="F104" s="59"/>
      <c r="G104" s="59"/>
      <c r="H104" s="59"/>
    </row>
    <row r="105" spans="1:8" ht="409.5">
      <c r="A105" s="59"/>
      <c r="B105" s="59"/>
      <c r="C105" s="59"/>
      <c r="D105" s="59"/>
      <c r="E105" s="59"/>
      <c r="F105" s="59"/>
      <c r="G105" s="59"/>
      <c r="H105" s="59"/>
    </row>
    <row r="106" spans="1:8" ht="409.5">
      <c r="A106" s="59"/>
      <c r="B106" s="59"/>
      <c r="C106" s="59"/>
      <c r="D106" s="59"/>
      <c r="E106" s="59"/>
      <c r="F106" s="59"/>
      <c r="G106" s="59"/>
      <c r="H106" s="59"/>
    </row>
    <row r="107" spans="1:8" ht="409.5">
      <c r="A107" s="59"/>
      <c r="B107" s="59"/>
      <c r="C107" s="59"/>
      <c r="D107" s="59"/>
      <c r="E107" s="59"/>
      <c r="F107" s="59"/>
      <c r="G107" s="59"/>
      <c r="H107" s="59"/>
    </row>
    <row r="108" spans="1:8" ht="409.5">
      <c r="A108" s="59"/>
      <c r="B108" s="59"/>
      <c r="C108" s="59"/>
      <c r="D108" s="59"/>
      <c r="E108" s="59"/>
      <c r="F108" s="59"/>
      <c r="G108" s="59"/>
      <c r="H108" s="59"/>
    </row>
    <row r="109" spans="1:8" ht="409.5">
      <c r="A109" s="59"/>
      <c r="B109" s="59"/>
      <c r="C109" s="59"/>
      <c r="D109" s="59"/>
      <c r="E109" s="59"/>
      <c r="F109" s="59"/>
      <c r="G109" s="59"/>
      <c r="H109" s="59"/>
    </row>
    <row r="110" spans="1:8" ht="409.5">
      <c r="A110" s="59"/>
      <c r="B110" s="59"/>
      <c r="C110" s="59"/>
      <c r="D110" s="59"/>
      <c r="E110" s="59"/>
      <c r="F110" s="59"/>
      <c r="G110" s="59"/>
      <c r="H110" s="59"/>
    </row>
    <row r="111" spans="1:8" ht="409.5">
      <c r="A111" s="59"/>
      <c r="B111" s="59"/>
      <c r="C111" s="59"/>
      <c r="D111" s="59"/>
      <c r="E111" s="59"/>
      <c r="F111" s="59"/>
      <c r="G111" s="59"/>
      <c r="H111" s="59"/>
    </row>
    <row r="112" spans="1:8" ht="409.5">
      <c r="A112" s="59"/>
      <c r="B112" s="59"/>
      <c r="C112" s="59"/>
      <c r="D112" s="59"/>
      <c r="E112" s="59"/>
      <c r="F112" s="59"/>
      <c r="G112" s="59"/>
      <c r="H112" s="59"/>
    </row>
    <row r="113" spans="1:8" ht="409.5">
      <c r="A113" s="59"/>
      <c r="B113" s="59"/>
      <c r="C113" s="59"/>
      <c r="D113" s="59"/>
      <c r="E113" s="59"/>
      <c r="F113" s="59"/>
      <c r="G113" s="59"/>
      <c r="H113" s="59"/>
    </row>
    <row r="114" spans="1:8" ht="409.5">
      <c r="A114" s="59"/>
      <c r="B114" s="59"/>
      <c r="C114" s="59"/>
      <c r="D114" s="59"/>
      <c r="E114" s="59"/>
      <c r="F114" s="59"/>
      <c r="G114" s="59"/>
      <c r="H114" s="59"/>
    </row>
  </sheetData>
  <sheetProtection sheet="1"/>
  <mergeCells count="14">
    <mergeCell ref="A11:H11"/>
    <mergeCell ref="A3:H3"/>
    <mergeCell ref="A5:H5"/>
    <mergeCell ref="A6:H6"/>
    <mergeCell ref="A7:H7"/>
    <mergeCell ref="A8:H8"/>
    <mergeCell ref="A9:H10"/>
    <mergeCell ref="B12:B14"/>
    <mergeCell ref="H12:H14"/>
    <mergeCell ref="G12:G14"/>
    <mergeCell ref="F12:F14"/>
    <mergeCell ref="E12:E14"/>
    <mergeCell ref="D12:D14"/>
    <mergeCell ref="C12:C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Alpers Lars (LAG-A)</dc:creator>
  <cp:keywords/>
  <dc:description/>
  <cp:lastModifiedBy>Lars Alpers</cp:lastModifiedBy>
  <cp:lastPrinted>2019-12-30T15:41:52Z</cp:lastPrinted>
  <dcterms:created xsi:type="dcterms:W3CDTF">2015-02-03T10:39:10Z</dcterms:created>
  <dcterms:modified xsi:type="dcterms:W3CDTF">2020-08-22T11:20:32Z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